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7.xml" ContentType="application/vnd.openxmlformats-officedocument.spreadsheetml.comment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sheet8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comments6.xml" ContentType="application/vnd.openxmlformats-officedocument.spreadsheetml.comments+xml"/>
  <Override PartName="/xl/comments8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7"/>
  </bookViews>
  <sheets>
    <sheet name="détails 2017" sheetId="1" state="visible" r:id="rId2"/>
    <sheet name="Feuil4" sheetId="2" state="visible" r:id="rId3"/>
    <sheet name="prevision 5.4" sheetId="3" state="visible" r:id="rId4"/>
    <sheet name="salaires mat" sheetId="4" state="visible" r:id="rId5"/>
    <sheet name=" suivi trim 3" sheetId="5" state="visible" r:id="rId6"/>
    <sheet name=" suivi trim 4" sheetId="6" state="visible" r:id="rId7"/>
    <sheet name=" suivi Mat07" sheetId="7" state="visible" r:id="rId8"/>
    <sheet name=" suivi global occe-mat-frapna" sheetId="8" state="visible" r:id="rId9"/>
  </sheets>
  <calcPr iterateCount="100" refMode="A1" iterate="false" iterateDelta="0.0001"/>
</workbook>
</file>

<file path=xl/comments4.xml><?xml version="1.0" encoding="utf-8"?>
<comments xmlns="http://schemas.openxmlformats.org/spreadsheetml/2006/main" xmlns:xdr="http://schemas.openxmlformats.org/drawingml/2006/spreadsheetDrawing">
  <authors>
    <author/>
  </authors>
  <commentList>
    <comment ref="A10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5 % déplacement +
8,5 % administratif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/>
  </authors>
  <commentList>
    <comment ref="F6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ok trim 2 vérifié</t>
        </r>
      </text>
    </comment>
    <comment ref="K37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remorque pédagogique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/>
  </authors>
  <commentList>
    <comment ref="F5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ok trim 2 vérifié</t>
        </r>
      </text>
    </comment>
    <comment ref="K32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remorque pédagogique</t>
        </r>
      </text>
    </comment>
    <comment ref="N16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ordi  manue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/>
  </authors>
  <commentList>
    <comment ref="D8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ok trim 2 vérifié</t>
        </r>
      </text>
    </comment>
    <comment ref="I29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remorque pédagogique</t>
        </r>
      </text>
    </comment>
    <comment ref="L17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ordi  manue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/>
  </authors>
  <commentList>
    <comment ref="G15" authorId="0">
      <text>
        <r>
          <rPr>
            <sz val="9"/>
            <color rgb="FF000000"/>
            <rFont val="Tahoma"/>
            <family val="2"/>
            <charset val="1"/>
          </rPr>
          <t>Utilisateur Windows:
</t>
        </r>
        <r>
          <rPr>
            <sz val="11"/>
            <color rgb="FF000000"/>
            <rFont val="Calibri"/>
            <family val="2"/>
            <charset val="1"/>
          </rPr>
          <t>remorque pédagogique</t>
        </r>
      </text>
    </comment>
  </commentList>
</comments>
</file>

<file path=xl/sharedStrings.xml><?xml version="1.0" encoding="utf-8"?>
<sst xmlns="http://schemas.openxmlformats.org/spreadsheetml/2006/main" count="534" uniqueCount="233">
  <si>
    <t>calcul heures et coût marie simon 2017</t>
  </si>
  <si>
    <t>trim 1</t>
  </si>
  <si>
    <t>trim 2</t>
  </si>
  <si>
    <t>trim 3</t>
  </si>
  <si>
    <t>trim 4</t>
  </si>
  <si>
    <t>total</t>
  </si>
  <si>
    <t>subvention PIA</t>
  </si>
  <si>
    <t>total moins congés</t>
  </si>
  <si>
    <t>nb heure</t>
  </si>
  <si>
    <t>maxi cout marie</t>
  </si>
  <si>
    <t>calcul des subventions pia total 2017</t>
  </si>
  <si>
    <t>total a remonter 2017</t>
  </si>
  <si>
    <t>pourcentage des heures années</t>
  </si>
  <si>
    <t>total subventions à recevoir</t>
  </si>
  <si>
    <t>reste à recevoir pour salaires marie avec congés </t>
  </si>
  <si>
    <t>fonjep</t>
  </si>
  <si>
    <t>dept 07</t>
  </si>
  <si>
    <t>comcom</t>
  </si>
  <si>
    <t>YANN</t>
  </si>
  <si>
    <t>MARIE</t>
  </si>
  <si>
    <t>ANNA</t>
  </si>
  <si>
    <t>FRANSCESCA</t>
  </si>
  <si>
    <t>ELODIE</t>
  </si>
  <si>
    <t>SALAIRE BRUT</t>
  </si>
  <si>
    <t>CHARGES PATRONALES</t>
  </si>
  <si>
    <t>TOTAL</t>
  </si>
  <si>
    <t>CONGES PAYES</t>
  </si>
  <si>
    <t>COUT HORAIRE</t>
  </si>
  <si>
    <t>par mois 151,67</t>
  </si>
  <si>
    <t>par trimestre</t>
  </si>
  <si>
    <t>par an</t>
  </si>
  <si>
    <t>école de projet</t>
  </si>
  <si>
    <t>heure</t>
  </si>
  <si>
    <t>volume €</t>
  </si>
  <si>
    <t>cout / heure</t>
  </si>
  <si>
    <t>amesud </t>
  </si>
  <si>
    <t>le mat</t>
  </si>
  <si>
    <t>itess</t>
  </si>
  <si>
    <t>Structure</t>
  </si>
  <si>
    <t>ANRU</t>
  </si>
  <si>
    <t>cofinances</t>
  </si>
  <si>
    <t>quels cofinances</t>
  </si>
  <si>
    <t>Remontées</t>
  </si>
  <si>
    <t>Détail des remontées</t>
  </si>
  <si>
    <t>Utilisation</t>
  </si>
  <si>
    <t>Structuration</t>
  </si>
  <si>
    <t>OCCE</t>
  </si>
  <si>
    <t>conv 07 + CPPA aura</t>
  </si>
  <si>
    <t>30 000 Poste Pétale</t>
  </si>
  <si>
    <t>10 000 frais structuration</t>
  </si>
  <si>
    <t>10 000 Poste Pétale + Particpation Copil 5.4</t>
  </si>
  <si>
    <t>10 000 Structuration Pétale (prestations extérieures + défraiement membres de Pétale)</t>
  </si>
  <si>
    <t>Le Mat</t>
  </si>
  <si>
    <t>conv 07 + fonjep</t>
  </si>
  <si>
    <t>10 000 Poste Pétale</t>
  </si>
  <si>
    <t>5 000 Poste Pétale + Participation Copil 5.4</t>
  </si>
  <si>
    <t>Actions innovantes</t>
  </si>
  <si>
    <t>leader + divers</t>
  </si>
  <si>
    <t>20 000 Projet le Lien</t>
  </si>
  <si>
    <t>10 000 Projet X</t>
  </si>
  <si>
    <t>10 000 Projet Y</t>
  </si>
  <si>
    <t>10 000 Projet le Lien</t>
  </si>
  <si>
    <t>5 000 Projet X</t>
  </si>
  <si>
    <t>5 000 Projet Y</t>
  </si>
  <si>
    <t>Frapna</t>
  </si>
  <si>
    <t>leader ?</t>
  </si>
  <si>
    <t>14 000 Convention - sur quelles missions ?</t>
  </si>
  <si>
    <t>6 000 Projet Tanargue</t>
  </si>
  <si>
    <t>2 000 Participation Copil 5.4</t>
  </si>
  <si>
    <t>2000 Projet Tanargue</t>
  </si>
  <si>
    <t>6000 pour ?</t>
  </si>
  <si>
    <t>PNR</t>
  </si>
  <si>
    <t>10 000 Coup de pouce - si c possible  ?</t>
  </si>
  <si>
    <t>2 500 Poste Arnaud - sur quelle mission ?</t>
  </si>
  <si>
    <t>4 250 pour ?</t>
  </si>
  <si>
    <t> </t>
  </si>
  <si>
    <t>Structures</t>
  </si>
  <si>
    <t>Participation Copil 5.4 + lisibilité EEDD commune</t>
  </si>
  <si>
    <t>Participation à la structuration et lisibilité EEDD</t>
  </si>
  <si>
    <t>nj jour à définir</t>
  </si>
  <si>
    <t>part frais structuration + prestations extérieures (juridique, internet et com, rencontres lozère ?</t>
  </si>
  <si>
    <t>Part coordination + structuration et lozère</t>
  </si>
  <si>
    <t>leader + divers ?</t>
  </si>
  <si>
    <t>part Projet le Lien ?</t>
  </si>
  <si>
    <t>part sur autres projets ?</t>
  </si>
  <si>
    <t>conv 07 + leader et autres ?</t>
  </si>
  <si>
    <t>Part sur appui à lisibilité ?</t>
  </si>
  <si>
    <t>part sur Convention  07 sur quelles missions ?</t>
  </si>
  <si>
    <t>leader et autres ?</t>
  </si>
  <si>
    <t>nb jour sur Poste Arnaud - sur quelle mission ?</t>
  </si>
  <si>
    <t>combien sur Coup de pouce - possible  = appui à des projets innovants?</t>
  </si>
  <si>
    <t>Détail convention le mat </t>
  </si>
  <si>
    <t>25 000€ sur l’accompagnement de projets d’Education à l’Environnement et la structuration du réseau des acteurs de l’EEDD</t>
  </si>
  <si>
    <t>Chaque demande d’acompte sur le projet AJIR respecte au global le taux de Subvention PIA fixé ci-avant, de 47.86% en 2017.</t>
  </si>
  <si>
    <t>35 000€ sur le développement ardéchois du réseau de compagnonnage REPAS</t>
  </si>
  <si>
    <t>3000€ sur la poursuite des objectifs du FEJ-Mobilité et la promotion des dispositifs de mobilité internationale</t>
  </si>
  <si>
    <t>anna temps plein</t>
  </si>
  <si>
    <t>avec les 13,5 %</t>
  </si>
  <si>
    <t>total heure</t>
  </si>
  <si>
    <t>total jour</t>
  </si>
  <si>
    <t>trimestre 3 sans congés payés</t>
  </si>
  <si>
    <t>trimestre 4 sans congés payés</t>
  </si>
  <si>
    <t>YANN oct</t>
  </si>
  <si>
    <t>yann 11-12</t>
  </si>
  <si>
    <t>MARIE oct</t>
  </si>
  <si>
    <t>marie 11-12</t>
  </si>
  <si>
    <t>nb jrs</t>
  </si>
  <si>
    <t>frais déplacement 8,5 %</t>
  </si>
  <si>
    <t>frais administartifs 5 %</t>
  </si>
  <si>
    <t>total à remonter</t>
  </si>
  <si>
    <t>plus déplace et admin</t>
  </si>
  <si>
    <t>taux</t>
  </si>
  <si>
    <t>mobilités 8.1</t>
  </si>
  <si>
    <t>cout h</t>
  </si>
  <si>
    <t>octobre</t>
  </si>
  <si>
    <t>nov</t>
  </si>
  <si>
    <t>previsionnel</t>
  </si>
  <si>
    <t>reste à remonter</t>
  </si>
  <si>
    <t>cout</t>
  </si>
  <si>
    <t>factures</t>
  </si>
  <si>
    <t>total remonté</t>
  </si>
  <si>
    <t>simon</t>
  </si>
  <si>
    <t>simon 11-12</t>
  </si>
  <si>
    <t>franscesca</t>
  </si>
  <si>
    <t>total jour pris</t>
  </si>
  <si>
    <t>reste jour</t>
  </si>
  <si>
    <t>vérif horiztl</t>
  </si>
  <si>
    <t>Parcours ESS</t>
  </si>
  <si>
    <t>Bilan 2017 le mat07 Parcours ESS</t>
  </si>
  <si>
    <t>en heure</t>
  </si>
  <si>
    <t>en € à 12,56</t>
  </si>
  <si>
    <t>HEURES MARIE</t>
  </si>
  <si>
    <t>COLIN</t>
  </si>
  <si>
    <t>HEURES COLIN</t>
  </si>
  <si>
    <t>HEURES FRANSCECA</t>
  </si>
  <si>
    <t>TOTAL HEURES</t>
  </si>
  <si>
    <t>total factures</t>
  </si>
  <si>
    <t>total général</t>
  </si>
  <si>
    <t>edd fonctionnement</t>
  </si>
  <si>
    <t>total 5 % de l'ensemble</t>
  </si>
  <si>
    <t>total 8,5 % (que les heures)</t>
  </si>
  <si>
    <t>total parcours ess 2017</t>
  </si>
  <si>
    <t>marie</t>
  </si>
  <si>
    <t>anna</t>
  </si>
  <si>
    <t>élodie</t>
  </si>
  <si>
    <t>eedd projets</t>
  </si>
  <si>
    <t>yann</t>
  </si>
  <si>
    <t>total 5.4 eedd</t>
  </si>
  <si>
    <t>previsionnel 3.3</t>
  </si>
  <si>
    <t>compagnonnage</t>
  </si>
  <si>
    <t>total jours</t>
  </si>
  <si>
    <t>reste jours</t>
  </si>
  <si>
    <t>6.2+6.3</t>
  </si>
  <si>
    <t>5% + 8,5%</t>
  </si>
  <si>
    <t>pris</t>
  </si>
  <si>
    <t>reste</t>
  </si>
  <si>
    <t>total jour marie</t>
  </si>
  <si>
    <t>total à faire remonter</t>
  </si>
  <si>
    <t>total jour yann</t>
  </si>
  <si>
    <t>total comp + ep</t>
  </si>
  <si>
    <t>reste 5,4 innovant</t>
  </si>
  <si>
    <t>reste 5,4-7,1-8,1</t>
  </si>
  <si>
    <t>déjà fait</t>
  </si>
  <si>
    <t>jour/an</t>
  </si>
  <si>
    <t>reste à faire</t>
  </si>
  <si>
    <t>vacances </t>
  </si>
  <si>
    <t>plus facture +  déplace et admin</t>
  </si>
  <si>
    <t>à remonter</t>
  </si>
  <si>
    <t>franscesca/manue</t>
  </si>
  <si>
    <t>manue</t>
  </si>
  <si>
    <t>anna/MANUE</t>
  </si>
  <si>
    <t>élodie/YANN</t>
  </si>
  <si>
    <t>MANUE</t>
  </si>
  <si>
    <t>anna/manue</t>
  </si>
  <si>
    <t>comp + ep</t>
  </si>
  <si>
    <t>total tout PIA</t>
  </si>
  <si>
    <t>personnel</t>
  </si>
  <si>
    <t>prévu</t>
  </si>
  <si>
    <t>%</t>
  </si>
  <si>
    <t>sub</t>
  </si>
  <si>
    <t>remontés</t>
  </si>
  <si>
    <t>manque</t>
  </si>
  <si>
    <t>reste grand secret du lien 2018 ?</t>
  </si>
  <si>
    <t>voir remontées amesud et itess en + si elles ateignent 20 242 ?</t>
  </si>
  <si>
    <t>Récapitulatif dépenses grand secret du lien 2017</t>
  </si>
  <si>
    <t>du 5 mai au 31 décembre 2017 </t>
  </si>
  <si>
    <t>salaire sourbier mai-juin</t>
  </si>
  <si>
    <t>salaire simon trim 3</t>
  </si>
  <si>
    <t>salaire sourbier trim 3</t>
  </si>
  <si>
    <t>salaire simon trim 4</t>
  </si>
  <si>
    <t>salaire sourbier trim 4</t>
  </si>
  <si>
    <t>factures après 5 mai</t>
  </si>
  <si>
    <t>total après 5 mai</t>
  </si>
  <si>
    <t>retour anru espéré / 5 mai</t>
  </si>
  <si>
    <t>reste PIA sur 2018 / 14 500</t>
  </si>
  <si>
    <t>OK</t>
  </si>
  <si>
    <t>total personnel</t>
  </si>
  <si>
    <t>total trim</t>
  </si>
  <si>
    <t>TRIM 1</t>
  </si>
  <si>
    <t>TRIM 2</t>
  </si>
  <si>
    <t>TRIM 3</t>
  </si>
  <si>
    <t>TRIM 4</t>
  </si>
  <si>
    <t>FACTURES</t>
  </si>
  <si>
    <t>DEPLACE 8,5 %</t>
  </si>
  <si>
    <t>FONCT 5,5%</t>
  </si>
  <si>
    <t>PERSONNEL</t>
  </si>
  <si>
    <t>TOTAL LIGNE</t>
  </si>
  <si>
    <t>PREV edd fonctionnement</t>
  </si>
  <si>
    <t>total mat</t>
  </si>
  <si>
    <t>TOTAL FONCT</t>
  </si>
  <si>
    <t>total Mat</t>
  </si>
  <si>
    <t>FRAPNA</t>
  </si>
  <si>
    <t>TOTAL PROJETS</t>
  </si>
  <si>
    <t>PREV DEPENSES</t>
  </si>
  <si>
    <t>REALISE</t>
  </si>
  <si>
    <t>difference</t>
  </si>
  <si>
    <t>global</t>
  </si>
  <si>
    <t>MAT </t>
  </si>
  <si>
    <t>FONCTIONNEMENT</t>
  </si>
  <si>
    <t>PROJET</t>
  </si>
  <si>
    <t>PARC</t>
  </si>
  <si>
    <t>Tableau de suivi des dépenses et retombées du PIA - brieuc 10-04-2018</t>
  </si>
  <si>
    <t>REMONTEES</t>
  </si>
  <si>
    <t>REDESCENTES</t>
  </si>
  <si>
    <t>1er trim.</t>
  </si>
  <si>
    <t>2eme trim.</t>
  </si>
  <si>
    <t>3eme trim.</t>
  </si>
  <si>
    <t>4eme trim.</t>
  </si>
  <si>
    <t>Total 2017</t>
  </si>
  <si>
    <t>vol. 1</t>
  </si>
  <si>
    <t>vol. 2</t>
  </si>
  <si>
    <t>La Frapna</t>
  </si>
  <si>
    <t>différence entre les 2 tableaux = 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</si>
</sst>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-* #,##0.00,\€_-;\-* #,##0.00,\€_-;_-* \-??&quot; €&quot;_-;_-@_-"/>
    <numFmt numFmtId="166" formatCode="0%"/>
    <numFmt numFmtId="167" formatCode="_-* #,##0.00,_€_-;\-* #,##0.00,_€_-;_-* \-??\ _€_-;_-@_-"/>
    <numFmt numFmtId="168" formatCode="_-* #,##0,\€_-;\-* #,##0,\€_-;_-* \-??&quot; €&quot;_-;_-@_-"/>
    <numFmt numFmtId="169" formatCode="0"/>
    <numFmt numFmtId="170" formatCode="DD/MM/YYYY"/>
    <numFmt numFmtId="171" formatCode="0.0%"/>
    <numFmt numFmtId="172" formatCode="_-* #,##0,_€_-;\-* #,##0,_€_-;_-* \-??\ _€_-;_-@_-"/>
    <numFmt numFmtId="173" formatCode="0.00%"/>
    <numFmt numFmtId="174" formatCode="_-* #,##0.0,\€_-;\-* #,##0.0,\€_-;_-* \-?&quot; €&quot;_-;_-@_-"/>
    <numFmt numFmtId="175" formatCode="_-* #,##0.0,\€_-;\-* #,##0.0,\€_-;_-* \-??&quot; €&quot;_-;_-@_-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sz val="8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6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sz val="8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BDD7EE"/>
      </patternFill>
    </fill>
    <fill>
      <patternFill patternType="solid">
        <fgColor rgb="FFFFFFFF"/>
        <bgColor rgb="FFFFF2CC"/>
      </patternFill>
    </fill>
    <fill>
      <patternFill patternType="solid">
        <fgColor rgb="FFBDD7EE"/>
        <bgColor rgb="FFB4C7E7"/>
      </patternFill>
    </fill>
    <fill>
      <patternFill patternType="solid">
        <fgColor rgb="FFF8CBAD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FFE699"/>
        <bgColor rgb="FFFFF2CC"/>
      </patternFill>
    </fill>
    <fill>
      <patternFill patternType="solid">
        <fgColor rgb="FFF4B183"/>
        <bgColor rgb="FFF8CBAD"/>
      </patternFill>
    </fill>
    <fill>
      <patternFill patternType="solid">
        <fgColor rgb="FFADB9CA"/>
        <bgColor rgb="FFB4C7E7"/>
      </patternFill>
    </fill>
    <fill>
      <patternFill patternType="solid">
        <fgColor rgb="FFB4C7E7"/>
        <bgColor rgb="FFBDD7EE"/>
      </patternFill>
    </fill>
    <fill>
      <patternFill patternType="solid">
        <fgColor rgb="FFFFD966"/>
        <bgColor rgb="FFFFE699"/>
      </patternFill>
    </fill>
    <fill>
      <patternFill patternType="solid">
        <fgColor rgb="FF8FAADC"/>
        <bgColor rgb="FFADB9CA"/>
      </patternFill>
    </fill>
    <fill>
      <patternFill patternType="solid">
        <fgColor rgb="FFE2F0D9"/>
        <bgColor rgb="FFDEEBF7"/>
      </patternFill>
    </fill>
    <fill>
      <patternFill patternType="solid">
        <fgColor rgb="FFFFF2CC"/>
        <bgColor rgb="FFE2F0D9"/>
      </patternFill>
    </fill>
    <fill>
      <patternFill patternType="solid">
        <fgColor rgb="FFDEEBF7"/>
        <bgColor rgb="FFE2F0D9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0" borderId="3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5" xfId="21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0" xfId="21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5" xfId="21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5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7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8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9" xfId="21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2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4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7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8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4" borderId="0" xfId="1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5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5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2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7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2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7" fillId="2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4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6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7" fillId="6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7" fillId="6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7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2" borderId="2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6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7" fillId="2" borderId="2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7" fillId="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7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7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7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7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7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7" fillId="7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7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8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8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8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8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9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9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9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9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9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7" fillId="9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1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0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10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11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1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1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1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1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1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11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11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1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1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1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1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7" fillId="2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7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7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2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5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5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1" fillId="5" borderId="15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6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4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6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7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8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8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8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8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9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9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0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1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1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7" fillId="11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1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7" fillId="12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7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2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7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1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1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12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1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12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13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5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3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5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2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4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4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7" fillId="1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8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7" fillId="12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3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7" fillId="10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2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4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4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2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11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4" fillId="11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7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3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11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12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1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4" borderId="3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14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15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14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1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7" fillId="4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15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1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15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8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4" borderId="1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3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8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4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5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5" fillId="15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15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4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15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5" fillId="1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1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16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5" fillId="4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4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5" fillId="4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7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8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7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4" borderId="1" xfId="17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Monétaire 2" xfId="20" builtinId="53" customBuiltin="true"/>
    <cellStyle name="Normal 2" xfId="21" builtinId="53" customBuiltin="true"/>
    <cellStyle name="Normal 3" xfId="22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808080"/>
      <rgbColor rgb="FF8FAADC"/>
      <rgbColor rgb="FF993366"/>
      <rgbColor rgb="FFFFF2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E2F0D9"/>
      <rgbColor rgb="FFFFE699"/>
      <rgbColor rgb="FFB4C7E7"/>
      <rgbColor rgb="FFF4B183"/>
      <rgbColor rgb="FFC5E0B4"/>
      <rgbColor rgb="FFF8CBAD"/>
      <rgbColor rgb="FF3366FF"/>
      <rgbColor rgb="FF33CCCC"/>
      <rgbColor rgb="FF99CC00"/>
      <rgbColor rgb="FFFFD966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1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3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4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5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40"/>
  <sheetViews>
    <sheetView windowProtection="false" showFormulas="false" showGridLines="tru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D38" activeCellId="0" sqref="D38"/>
    </sheetView>
  </sheetViews>
  <sheetFormatPr defaultRowHeight="15"/>
  <cols>
    <col collapsed="false" hidden="false" max="1" min="1" style="0" width="26.5918367346939"/>
    <col collapsed="false" hidden="false" max="3" min="2" style="0" width="11.6071428571429"/>
    <col collapsed="false" hidden="false" max="4" min="4" style="0" width="13.6326530612245"/>
    <col collapsed="false" hidden="false" max="5" min="5" style="0" width="12.2857142857143"/>
    <col collapsed="false" hidden="false" max="6" min="6" style="0" width="11.6071428571429"/>
    <col collapsed="false" hidden="false" max="7" min="7" style="0" width="14.1734693877551"/>
    <col collapsed="false" hidden="false" max="8" min="8" style="0" width="17.4132653061224"/>
    <col collapsed="false" hidden="false" max="1025" min="9" style="0" width="10.530612244898"/>
  </cols>
  <sheetData>
    <row r="1" customFormat="false" ht="15" hidden="false" customHeight="false" outlineLevel="0" collapsed="false">
      <c r="A1" s="1" t="s">
        <v>0</v>
      </c>
      <c r="B1" s="1"/>
    </row>
    <row r="2" customFormat="false" ht="15" hidden="false" customHeight="false" outlineLevel="0" collapsed="false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customFormat="false" ht="15" hidden="false" customHeight="false" outlineLevel="0" collapsed="false">
      <c r="A3" s="2" t="s">
        <v>8</v>
      </c>
      <c r="B3" s="2" t="n">
        <f aca="false">151.67*3</f>
        <v>455.01</v>
      </c>
      <c r="C3" s="2" t="n">
        <f aca="false">151.67*3</f>
        <v>455.01</v>
      </c>
      <c r="D3" s="2" t="n">
        <f aca="false">151.67*3</f>
        <v>455.01</v>
      </c>
      <c r="E3" s="2" t="n">
        <f aca="false">151.67*3</f>
        <v>455.01</v>
      </c>
      <c r="F3" s="2" t="n">
        <f aca="false">SUM(B3:E3)</f>
        <v>1820.04</v>
      </c>
      <c r="G3" s="2"/>
      <c r="H3" s="2" t="n">
        <f aca="false">F3-(35*5)</f>
        <v>1645.04</v>
      </c>
    </row>
    <row r="4" customFormat="false" ht="15" hidden="false" customHeight="false" outlineLevel="0" collapsed="false">
      <c r="A4" s="2" t="s">
        <v>9</v>
      </c>
      <c r="B4" s="3" t="n">
        <f aca="false">B3*12.56</f>
        <v>5714.9256</v>
      </c>
      <c r="C4" s="3" t="n">
        <f aca="false">C3*12.56</f>
        <v>5714.9256</v>
      </c>
      <c r="D4" s="3" t="n">
        <f aca="false">D3*12.56</f>
        <v>5714.9256</v>
      </c>
      <c r="E4" s="3" t="n">
        <f aca="false">E3*12.56</f>
        <v>5714.9256</v>
      </c>
      <c r="F4" s="2" t="n">
        <f aca="false">SUM(B4:E4)</f>
        <v>22859.7024</v>
      </c>
      <c r="G4" s="2"/>
      <c r="H4" s="4" t="n">
        <f aca="false">F4-(35*5*12.56)</f>
        <v>20661.7024</v>
      </c>
    </row>
    <row r="5" customFormat="false" ht="15" hidden="false" customHeight="false" outlineLevel="0" collapsed="false">
      <c r="A5" s="2"/>
      <c r="B5" s="2"/>
      <c r="C5" s="2"/>
      <c r="D5" s="2"/>
      <c r="E5" s="2"/>
      <c r="F5" s="2"/>
      <c r="G5" s="2"/>
      <c r="H5" s="2"/>
    </row>
    <row r="7" customFormat="false" ht="15" hidden="false" customHeight="false" outlineLevel="0" collapsed="false">
      <c r="A7" s="1" t="s">
        <v>10</v>
      </c>
      <c r="B7" s="1"/>
    </row>
    <row r="8" customFormat="false" ht="15" hidden="false" customHeight="false" outlineLevel="0" collapsed="false">
      <c r="A8" s="5" t="n">
        <v>8.1</v>
      </c>
      <c r="B8" s="5" t="n">
        <v>1100</v>
      </c>
      <c r="C8" s="5" t="n">
        <v>1100</v>
      </c>
      <c r="D8" s="5" t="n">
        <v>1100</v>
      </c>
      <c r="E8" s="5" t="n">
        <v>1100</v>
      </c>
      <c r="F8" s="5" t="n">
        <f aca="false">SUM(B8:E8)</f>
        <v>4400</v>
      </c>
      <c r="G8" s="5" t="n">
        <v>3500</v>
      </c>
      <c r="H8" s="6" t="n">
        <v>1</v>
      </c>
    </row>
    <row r="9" customFormat="false" ht="15" hidden="false" customHeight="false" outlineLevel="0" collapsed="false">
      <c r="A9" s="2" t="n">
        <v>7.2</v>
      </c>
      <c r="B9" s="2" t="n">
        <v>875</v>
      </c>
      <c r="C9" s="2" t="n">
        <v>875</v>
      </c>
      <c r="D9" s="2" t="n">
        <v>875</v>
      </c>
      <c r="E9" s="2" t="n">
        <v>875</v>
      </c>
      <c r="F9" s="2" t="n">
        <f aca="false">SUM(B9:E9)</f>
        <v>3500</v>
      </c>
      <c r="G9" s="2" t="n">
        <v>3500</v>
      </c>
      <c r="H9" s="7" t="n">
        <v>1</v>
      </c>
    </row>
    <row r="10" customFormat="false" ht="15" hidden="false" customHeight="false" outlineLevel="0" collapsed="false">
      <c r="A10" s="2" t="n">
        <v>5.4</v>
      </c>
      <c r="B10" s="2" t="n">
        <v>2500</v>
      </c>
      <c r="C10" s="2" t="n">
        <v>2500</v>
      </c>
      <c r="D10" s="2" t="n">
        <v>2500</v>
      </c>
      <c r="E10" s="2" t="n">
        <v>2500</v>
      </c>
      <c r="F10" s="2" t="n">
        <f aca="false">SUM(B10:E10)</f>
        <v>10000</v>
      </c>
      <c r="G10" s="2" t="n">
        <v>5000</v>
      </c>
      <c r="H10" s="7" t="n">
        <v>0.5</v>
      </c>
    </row>
    <row r="11" customFormat="false" ht="15" hidden="false" customHeight="false" outlineLevel="0" collapsed="false">
      <c r="A11" s="2" t="n">
        <v>3.3</v>
      </c>
      <c r="B11" s="2" t="n">
        <v>250</v>
      </c>
      <c r="C11" s="2" t="n">
        <v>250</v>
      </c>
      <c r="D11" s="2" t="n">
        <v>250</v>
      </c>
      <c r="E11" s="2" t="n">
        <v>250</v>
      </c>
      <c r="F11" s="2" t="n">
        <f aca="false">SUM(B11:E11)</f>
        <v>1000</v>
      </c>
      <c r="G11" s="2" t="n">
        <v>1000</v>
      </c>
      <c r="H11" s="7" t="n">
        <v>1</v>
      </c>
    </row>
    <row r="12" customFormat="false" ht="15" hidden="false" customHeight="false" outlineLevel="0" collapsed="false">
      <c r="A12" s="8" t="s">
        <v>11</v>
      </c>
      <c r="B12" s="8"/>
      <c r="C12" s="8"/>
      <c r="D12" s="8"/>
      <c r="E12" s="8"/>
      <c r="F12" s="9" t="n">
        <f aca="false">SUM(F8:F11)</f>
        <v>18900</v>
      </c>
      <c r="G12" s="9" t="n">
        <f aca="false">SUM(G8:G11)</f>
        <v>13000</v>
      </c>
    </row>
    <row r="13" customFormat="false" ht="15" hidden="false" customHeight="false" outlineLevel="0" collapsed="false">
      <c r="A13" s="1" t="s">
        <v>12</v>
      </c>
      <c r="B13" s="1"/>
      <c r="C13" s="1"/>
      <c r="D13" s="1"/>
      <c r="E13" s="1"/>
      <c r="F13" s="10" t="n">
        <f aca="false">F12/C30</f>
        <v>1504.27816438542</v>
      </c>
      <c r="G13" s="11" t="n">
        <f aca="false">F13/H3</f>
        <v>0.914432575733974</v>
      </c>
      <c r="H13" s="1"/>
    </row>
    <row r="14" customFormat="false" ht="15" hidden="false" customHeight="false" outlineLevel="0" collapsed="false">
      <c r="A14" s="1" t="s">
        <v>13</v>
      </c>
      <c r="B14" s="1"/>
      <c r="C14" s="1"/>
      <c r="D14" s="1"/>
      <c r="E14" s="1"/>
      <c r="F14" s="1"/>
      <c r="G14" s="4" t="n">
        <f aca="false">SUM(G8:G11)</f>
        <v>13000</v>
      </c>
      <c r="H14" s="1"/>
    </row>
    <row r="15" customFormat="false" ht="15" hidden="false" customHeight="false" outlineLevel="0" collapsed="false">
      <c r="A15" s="1" t="s">
        <v>14</v>
      </c>
      <c r="B15" s="1"/>
      <c r="C15" s="1"/>
      <c r="D15" s="1"/>
      <c r="E15" s="1"/>
      <c r="F15" s="1"/>
      <c r="G15" s="1"/>
      <c r="H15" s="12" t="n">
        <f aca="false">H4-G14</f>
        <v>7661.7024</v>
      </c>
    </row>
    <row r="16" customFormat="false" ht="15" hidden="false" customHeight="false" outlineLevel="0" collapsed="false">
      <c r="A16" s="1"/>
      <c r="B16" s="1"/>
      <c r="C16" s="13"/>
      <c r="D16" s="13"/>
      <c r="E16" s="13"/>
      <c r="F16" s="13"/>
      <c r="G16" s="13"/>
      <c r="H16" s="14"/>
    </row>
    <row r="17" customFormat="false" ht="15" hidden="false" customHeight="false" outlineLevel="0" collapsed="false">
      <c r="A17" s="1"/>
      <c r="B17" s="1"/>
      <c r="C17" s="13"/>
      <c r="D17" s="13"/>
      <c r="E17" s="13"/>
      <c r="F17" s="13"/>
      <c r="G17" s="13"/>
      <c r="H17" s="14"/>
    </row>
    <row r="18" customFormat="false" ht="15" hidden="false" customHeight="false" outlineLevel="0" collapsed="false">
      <c r="A18" s="15" t="s">
        <v>15</v>
      </c>
      <c r="B18" s="16" t="n">
        <v>7000</v>
      </c>
    </row>
    <row r="19" customFormat="false" ht="15" hidden="false" customHeight="false" outlineLevel="0" collapsed="false">
      <c r="A19" s="15" t="s">
        <v>16</v>
      </c>
      <c r="B19" s="16" t="n">
        <v>18000</v>
      </c>
    </row>
    <row r="20" customFormat="false" ht="15" hidden="false" customHeight="false" outlineLevel="0" collapsed="false">
      <c r="A20" s="15" t="s">
        <v>17</v>
      </c>
      <c r="B20" s="16" t="n">
        <v>13000</v>
      </c>
    </row>
    <row r="21" customFormat="false" ht="15" hidden="false" customHeight="false" outlineLevel="0" collapsed="false">
      <c r="A21" s="1" t="s">
        <v>5</v>
      </c>
      <c r="B21" s="17" t="n">
        <f aca="false">SUM(B18:B20)</f>
        <v>38000</v>
      </c>
    </row>
    <row r="24" customFormat="false" ht="15" hidden="false" customHeight="false" outlineLevel="0" collapsed="false">
      <c r="B24" s="18" t="s">
        <v>18</v>
      </c>
      <c r="C24" s="19" t="s">
        <v>19</v>
      </c>
      <c r="D24" s="19" t="s">
        <v>20</v>
      </c>
      <c r="E24" s="19" t="s">
        <v>21</v>
      </c>
      <c r="F24" s="20" t="s">
        <v>22</v>
      </c>
    </row>
    <row r="25" customFormat="false" ht="15" hidden="false" customHeight="false" outlineLevel="0" collapsed="false">
      <c r="A25" s="21" t="s">
        <v>23</v>
      </c>
      <c r="B25" s="22" t="n">
        <v>1727.43</v>
      </c>
      <c r="C25" s="22" t="n">
        <v>1480.3</v>
      </c>
      <c r="D25" s="22" t="n">
        <v>1184.18</v>
      </c>
      <c r="E25" s="22" t="n">
        <v>1480.3</v>
      </c>
      <c r="F25" s="22" t="n">
        <v>1480.3</v>
      </c>
    </row>
    <row r="26" customFormat="false" ht="15" hidden="false" customHeight="false" outlineLevel="0" collapsed="false">
      <c r="A26" s="21" t="s">
        <v>24</v>
      </c>
      <c r="B26" s="22" t="n">
        <v>517.74</v>
      </c>
      <c r="C26" s="22" t="n">
        <v>252.07</v>
      </c>
      <c r="D26" s="22" t="n">
        <v>221.83</v>
      </c>
      <c r="E26" s="22" t="n">
        <v>266.87</v>
      </c>
      <c r="F26" s="23" t="n">
        <v>252.08</v>
      </c>
    </row>
    <row r="27" customFormat="false" ht="15" hidden="false" customHeight="false" outlineLevel="0" collapsed="false">
      <c r="A27" s="21" t="s">
        <v>25</v>
      </c>
      <c r="B27" s="22" t="n">
        <f aca="false">(+B25+B26)</f>
        <v>2245.17</v>
      </c>
      <c r="C27" s="22" t="n">
        <f aca="false">(+C25+C26)</f>
        <v>1732.37</v>
      </c>
      <c r="D27" s="22" t="n">
        <f aca="false">(+D25+D26)</f>
        <v>1406.01</v>
      </c>
      <c r="E27" s="22" t="n">
        <f aca="false">(+E25+E26)</f>
        <v>1747.17</v>
      </c>
      <c r="F27" s="22" t="n">
        <f aca="false">(+F25+F26)</f>
        <v>1732.38</v>
      </c>
    </row>
    <row r="28" customFormat="false" ht="15" hidden="false" customHeight="false" outlineLevel="0" collapsed="false">
      <c r="A28" s="21" t="s">
        <v>26</v>
      </c>
      <c r="B28" s="22" t="n">
        <f aca="false">+B27*0.1</f>
        <v>224.517</v>
      </c>
      <c r="C28" s="22" t="n">
        <f aca="false">+C27*0.1</f>
        <v>173.237</v>
      </c>
      <c r="D28" s="22" t="n">
        <f aca="false">+D27*0.1</f>
        <v>140.601</v>
      </c>
      <c r="E28" s="22" t="n">
        <f aca="false">+E27*0.1</f>
        <v>174.717</v>
      </c>
      <c r="F28" s="22" t="n">
        <f aca="false">+F27*0.1</f>
        <v>173.238</v>
      </c>
    </row>
    <row r="29" customFormat="false" ht="15" hidden="false" customHeight="false" outlineLevel="0" collapsed="false">
      <c r="A29" s="21"/>
      <c r="B29" s="22" t="n">
        <f aca="false">SUM(B27:B28)</f>
        <v>2469.687</v>
      </c>
      <c r="C29" s="22" t="n">
        <f aca="false">SUM(C27:C28)</f>
        <v>1905.607</v>
      </c>
      <c r="D29" s="22" t="n">
        <f aca="false">SUM(D27:D28)</f>
        <v>1546.611</v>
      </c>
      <c r="E29" s="22" t="n">
        <f aca="false">SUM(E27:E28)</f>
        <v>1921.887</v>
      </c>
      <c r="F29" s="22" t="n">
        <f aca="false">SUM(F27:F28)</f>
        <v>1905.618</v>
      </c>
    </row>
    <row r="30" customFormat="false" ht="15" hidden="false" customHeight="false" outlineLevel="0" collapsed="false">
      <c r="A30" s="24" t="s">
        <v>27</v>
      </c>
      <c r="B30" s="25" t="n">
        <f aca="false">B29/151.67</f>
        <v>16.2832926748863</v>
      </c>
      <c r="C30" s="25" t="n">
        <f aca="false">C29/151.67</f>
        <v>12.5641656227336</v>
      </c>
      <c r="D30" s="25" t="n">
        <f aca="false">D29/121.33</f>
        <v>12.7471441523119</v>
      </c>
      <c r="E30" s="25" t="n">
        <f aca="false">E29/151.67</f>
        <v>12.6715039229907</v>
      </c>
      <c r="F30" s="25" t="n">
        <f aca="false">F29/151.67</f>
        <v>12.5642381486121</v>
      </c>
    </row>
    <row r="31" customFormat="false" ht="15" hidden="false" customHeight="false" outlineLevel="0" collapsed="false">
      <c r="A31" s="21" t="s">
        <v>28</v>
      </c>
      <c r="B31" s="22" t="n">
        <f aca="false">+B27+B28</f>
        <v>2469.687</v>
      </c>
      <c r="C31" s="22" t="n">
        <f aca="false">+C27+C28</f>
        <v>1905.607</v>
      </c>
      <c r="D31" s="22" t="n">
        <f aca="false">+D30*151.67</f>
        <v>1933.35935358114</v>
      </c>
      <c r="E31" s="22" t="n">
        <f aca="false">+E27+E28</f>
        <v>1921.887</v>
      </c>
      <c r="F31" s="22" t="n">
        <f aca="false">+F27+F28</f>
        <v>1905.618</v>
      </c>
    </row>
    <row r="32" customFormat="false" ht="15" hidden="false" customHeight="false" outlineLevel="0" collapsed="false">
      <c r="A32" s="21" t="s">
        <v>29</v>
      </c>
      <c r="B32" s="22" t="n">
        <f aca="false">+B31*3</f>
        <v>7409.061</v>
      </c>
      <c r="C32" s="22" t="n">
        <f aca="false">+C31*3</f>
        <v>5716.821</v>
      </c>
      <c r="D32" s="22" t="n">
        <f aca="false">+D31*3</f>
        <v>5800.07806074343</v>
      </c>
      <c r="E32" s="22" t="n">
        <f aca="false">+E31*3</f>
        <v>5765.661</v>
      </c>
      <c r="F32" s="22" t="n">
        <f aca="false">+F31*3</f>
        <v>5716.854</v>
      </c>
    </row>
    <row r="33" customFormat="false" ht="15" hidden="false" customHeight="false" outlineLevel="0" collapsed="false">
      <c r="A33" s="21" t="s">
        <v>30</v>
      </c>
      <c r="B33" s="22" t="n">
        <f aca="false">B32*4</f>
        <v>29636.244</v>
      </c>
      <c r="C33" s="22" t="n">
        <f aca="false">C32*4</f>
        <v>22867.284</v>
      </c>
      <c r="D33" s="22" t="n">
        <f aca="false">D32*4</f>
        <v>23200.3122429737</v>
      </c>
      <c r="E33" s="22" t="n">
        <f aca="false">E32*4</f>
        <v>23062.644</v>
      </c>
      <c r="F33" s="22" t="n">
        <f aca="false">F32*4</f>
        <v>22867.416</v>
      </c>
    </row>
    <row r="36" customFormat="false" ht="15" hidden="false" customHeight="false" outlineLevel="0" collapsed="false">
      <c r="A36" s="26" t="s">
        <v>31</v>
      </c>
      <c r="B36" s="18" t="s">
        <v>32</v>
      </c>
      <c r="C36" s="18" t="s">
        <v>33</v>
      </c>
      <c r="D36" s="18" t="s">
        <v>34</v>
      </c>
    </row>
    <row r="37" customFormat="false" ht="15" hidden="false" customHeight="false" outlineLevel="0" collapsed="false">
      <c r="A37" s="1" t="s">
        <v>35</v>
      </c>
      <c r="B37" s="2" t="n">
        <v>742</v>
      </c>
      <c r="C37" s="27" t="n">
        <v>16250</v>
      </c>
      <c r="D37" s="27" t="n">
        <f aca="false">C37/B37</f>
        <v>21.900269541779</v>
      </c>
    </row>
    <row r="38" customFormat="false" ht="15" hidden="false" customHeight="false" outlineLevel="0" collapsed="false">
      <c r="A38" s="1" t="s">
        <v>36</v>
      </c>
      <c r="B38" s="2" t="n">
        <v>221</v>
      </c>
      <c r="C38" s="27" t="n">
        <v>3600</v>
      </c>
      <c r="D38" s="27" t="n">
        <v>16.3</v>
      </c>
      <c r="E38" s="28" t="n">
        <f aca="false">D38*B38</f>
        <v>3602.3</v>
      </c>
    </row>
    <row r="39" customFormat="false" ht="15" hidden="false" customHeight="false" outlineLevel="0" collapsed="false">
      <c r="A39" s="1" t="s">
        <v>37</v>
      </c>
      <c r="B39" s="2" t="n">
        <v>180</v>
      </c>
      <c r="C39" s="27" t="n">
        <v>4500</v>
      </c>
      <c r="D39" s="27" t="n">
        <f aca="false">C39/B39</f>
        <v>25</v>
      </c>
    </row>
    <row r="40" customFormat="false" ht="15" hidden="false" customHeight="false" outlineLevel="0" collapsed="false">
      <c r="A40" s="1"/>
      <c r="B40" s="2"/>
      <c r="C40" s="27" t="n">
        <f aca="false">SUM(C37:C39)</f>
        <v>24350</v>
      </c>
      <c r="D40" s="27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5306122448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0"/>
  <sheetViews>
    <sheetView windowProtection="false" showFormulas="false" showGridLines="true" showRowColHeaders="true" showZeros="true" rightToLeft="false" tabSelected="false" showOutlineSymbols="true" defaultGridColor="true" view="normal" topLeftCell="A15" colorId="64" zoomScale="100" zoomScaleNormal="100" zoomScalePageLayoutView="100" workbookViewId="0">
      <selection pane="topLeft" activeCell="H18" activeCellId="0" sqref="H18"/>
    </sheetView>
  </sheetViews>
  <sheetFormatPr defaultRowHeight="38.1"/>
  <cols>
    <col collapsed="false" hidden="false" max="1" min="1" style="29" width="18.6275510204082"/>
    <col collapsed="false" hidden="false" max="2" min="2" style="29" width="13.0918367346939"/>
    <col collapsed="false" hidden="false" max="4" min="3" style="30" width="13.3622448979592"/>
    <col collapsed="false" hidden="false" max="5" min="5" style="30" width="18.8979591836735"/>
    <col collapsed="false" hidden="false" max="6" min="6" style="30" width="19.4387755102041"/>
    <col collapsed="false" hidden="false" max="7" min="7" style="29" width="40.6326530612245"/>
    <col collapsed="false" hidden="false" max="8" min="8" style="29" width="24.3010204081633"/>
    <col collapsed="false" hidden="false" max="9" min="9" style="29" width="22.6785714285714"/>
    <col collapsed="false" hidden="false" max="10" min="10" style="29" width="56.0204081632653"/>
    <col collapsed="false" hidden="false" max="11" min="11" style="29" width="26.8622448979592"/>
    <col collapsed="false" hidden="false" max="12" min="12" style="29" width="17.4132653061224"/>
    <col collapsed="false" hidden="false" max="1025" min="13" style="29" width="11.2040816326531"/>
  </cols>
  <sheetData>
    <row r="1" customFormat="false" ht="38.1" hidden="false" customHeight="tru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</row>
    <row r="2" customFormat="false" ht="38.1" hidden="false" customHeight="true" outlineLevel="0" collapsed="false">
      <c r="A2" s="0"/>
      <c r="B2" s="31" t="s">
        <v>38</v>
      </c>
      <c r="C2" s="32" t="s">
        <v>39</v>
      </c>
      <c r="D2" s="32" t="s">
        <v>40</v>
      </c>
      <c r="E2" s="33" t="s">
        <v>41</v>
      </c>
      <c r="F2" s="32" t="s">
        <v>42</v>
      </c>
      <c r="G2" s="34" t="s">
        <v>43</v>
      </c>
      <c r="H2" s="34"/>
      <c r="I2" s="34"/>
      <c r="J2" s="34" t="s">
        <v>44</v>
      </c>
      <c r="K2" s="34"/>
      <c r="L2" s="34"/>
    </row>
    <row r="3" customFormat="false" ht="38.1" hidden="false" customHeight="true" outlineLevel="0" collapsed="false">
      <c r="A3" s="35" t="s">
        <v>45</v>
      </c>
      <c r="B3" s="36" t="s">
        <v>46</v>
      </c>
      <c r="C3" s="37" t="n">
        <v>20000</v>
      </c>
      <c r="D3" s="37" t="n">
        <v>20000</v>
      </c>
      <c r="E3" s="38" t="s">
        <v>47</v>
      </c>
      <c r="F3" s="37" t="n">
        <v>40000</v>
      </c>
      <c r="G3" s="39" t="s">
        <v>48</v>
      </c>
      <c r="H3" s="40" t="s">
        <v>49</v>
      </c>
      <c r="I3" s="41"/>
      <c r="J3" s="39" t="s">
        <v>50</v>
      </c>
      <c r="K3" s="40" t="s">
        <v>51</v>
      </c>
      <c r="L3" s="41"/>
    </row>
    <row r="4" customFormat="false" ht="38.1" hidden="false" customHeight="true" outlineLevel="0" collapsed="false">
      <c r="A4" s="35"/>
      <c r="B4" s="36" t="s">
        <v>52</v>
      </c>
      <c r="C4" s="37" t="n">
        <v>5000</v>
      </c>
      <c r="D4" s="37" t="n">
        <v>5000</v>
      </c>
      <c r="E4" s="38" t="s">
        <v>53</v>
      </c>
      <c r="F4" s="37" t="n">
        <v>10000</v>
      </c>
      <c r="G4" s="39" t="s">
        <v>54</v>
      </c>
      <c r="H4" s="42"/>
      <c r="I4" s="41"/>
      <c r="J4" s="39" t="s">
        <v>55</v>
      </c>
      <c r="K4" s="42"/>
      <c r="L4" s="43"/>
    </row>
    <row r="5" customFormat="false" ht="38.1" hidden="false" customHeight="true" outlineLevel="0" collapsed="false">
      <c r="A5" s="35" t="s">
        <v>56</v>
      </c>
      <c r="B5" s="36" t="s">
        <v>52</v>
      </c>
      <c r="C5" s="37" t="n">
        <v>20000</v>
      </c>
      <c r="D5" s="37" t="n">
        <v>20000</v>
      </c>
      <c r="E5" s="38" t="s">
        <v>57</v>
      </c>
      <c r="F5" s="37" t="n">
        <v>40000</v>
      </c>
      <c r="G5" s="39" t="s">
        <v>58</v>
      </c>
      <c r="H5" s="40" t="s">
        <v>59</v>
      </c>
      <c r="I5" s="44" t="s">
        <v>60</v>
      </c>
      <c r="J5" s="39" t="s">
        <v>61</v>
      </c>
      <c r="K5" s="40" t="s">
        <v>62</v>
      </c>
      <c r="L5" s="44" t="s">
        <v>63</v>
      </c>
    </row>
    <row r="6" customFormat="false" ht="38.1" hidden="false" customHeight="true" outlineLevel="0" collapsed="false">
      <c r="A6" s="35"/>
      <c r="B6" s="36" t="s">
        <v>64</v>
      </c>
      <c r="C6" s="37" t="n">
        <v>10000</v>
      </c>
      <c r="D6" s="37" t="n">
        <v>10000</v>
      </c>
      <c r="E6" s="38" t="s">
        <v>65</v>
      </c>
      <c r="F6" s="37" t="n">
        <v>20000</v>
      </c>
      <c r="G6" s="39" t="s">
        <v>66</v>
      </c>
      <c r="H6" s="40" t="s">
        <v>67</v>
      </c>
      <c r="I6" s="41"/>
      <c r="J6" s="39" t="s">
        <v>68</v>
      </c>
      <c r="K6" s="40" t="s">
        <v>69</v>
      </c>
      <c r="L6" s="44" t="s">
        <v>70</v>
      </c>
    </row>
    <row r="7" customFormat="false" ht="38.1" hidden="false" customHeight="true" outlineLevel="0" collapsed="false">
      <c r="A7" s="35"/>
      <c r="B7" s="45" t="s">
        <v>71</v>
      </c>
      <c r="C7" s="46" t="n">
        <v>6250</v>
      </c>
      <c r="D7" s="46" t="n">
        <v>6250</v>
      </c>
      <c r="E7" s="38" t="s">
        <v>65</v>
      </c>
      <c r="F7" s="46" t="n">
        <v>12500</v>
      </c>
      <c r="G7" s="47" t="s">
        <v>72</v>
      </c>
      <c r="H7" s="48" t="s">
        <v>73</v>
      </c>
      <c r="I7" s="49"/>
      <c r="J7" s="47" t="s">
        <v>68</v>
      </c>
      <c r="K7" s="48" t="s">
        <v>74</v>
      </c>
      <c r="L7" s="49"/>
    </row>
    <row r="8" customFormat="false" ht="38.1" hidden="false" customHeight="true" outlineLevel="0" collapsed="false">
      <c r="A8" s="0"/>
      <c r="B8" s="0"/>
      <c r="C8" s="50" t="n">
        <f aca="false">SUM(C3:C7)</f>
        <v>61250</v>
      </c>
      <c r="D8" s="50" t="n">
        <f aca="false">SUM(D3:D7)</f>
        <v>61250</v>
      </c>
      <c r="E8" s="0"/>
      <c r="F8" s="50" t="n">
        <f aca="false">SUM(F3:F7)</f>
        <v>122500</v>
      </c>
      <c r="G8" s="0"/>
      <c r="H8" s="0"/>
      <c r="I8" s="0"/>
      <c r="J8" s="0"/>
    </row>
    <row r="9" customFormat="false" ht="38.1" hidden="false" customHeight="true" outlineLevel="0" collapsed="false">
      <c r="A9" s="0"/>
      <c r="B9" s="50"/>
      <c r="C9" s="0"/>
      <c r="D9" s="0"/>
      <c r="E9" s="0"/>
      <c r="F9" s="34" t="s">
        <v>43</v>
      </c>
      <c r="G9" s="34"/>
      <c r="H9" s="34"/>
      <c r="I9" s="34"/>
      <c r="J9" s="29" t="s">
        <v>75</v>
      </c>
    </row>
    <row r="10" customFormat="false" ht="77.25" hidden="false" customHeight="true" outlineLevel="0" collapsed="false">
      <c r="A10" s="31" t="s">
        <v>76</v>
      </c>
      <c r="B10" s="32" t="s">
        <v>39</v>
      </c>
      <c r="C10" s="32" t="s">
        <v>40</v>
      </c>
      <c r="D10" s="51" t="s">
        <v>41</v>
      </c>
      <c r="E10" s="32" t="s">
        <v>42</v>
      </c>
      <c r="F10" s="51" t="s">
        <v>77</v>
      </c>
      <c r="G10" s="51" t="s">
        <v>78</v>
      </c>
      <c r="H10" s="52"/>
      <c r="I10" s="52"/>
    </row>
    <row r="11" customFormat="false" ht="60" hidden="false" customHeight="true" outlineLevel="0" collapsed="false">
      <c r="A11" s="53" t="s">
        <v>46</v>
      </c>
      <c r="B11" s="54" t="n">
        <v>20000</v>
      </c>
      <c r="C11" s="54" t="n">
        <v>20000</v>
      </c>
      <c r="D11" s="55" t="s">
        <v>47</v>
      </c>
      <c r="E11" s="54" t="n">
        <v>40000</v>
      </c>
      <c r="F11" s="53" t="s">
        <v>79</v>
      </c>
      <c r="G11" s="55" t="s">
        <v>48</v>
      </c>
      <c r="H11" s="55" t="s">
        <v>80</v>
      </c>
      <c r="I11" s="55"/>
    </row>
    <row r="12" customFormat="false" ht="38.1" hidden="false" customHeight="true" outlineLevel="0" collapsed="false">
      <c r="A12" s="53" t="s">
        <v>52</v>
      </c>
      <c r="B12" s="54" t="n">
        <v>5000</v>
      </c>
      <c r="C12" s="54" t="n">
        <v>5000</v>
      </c>
      <c r="D12" s="55" t="s">
        <v>53</v>
      </c>
      <c r="E12" s="54" t="n">
        <v>10000</v>
      </c>
      <c r="F12" s="53" t="s">
        <v>79</v>
      </c>
      <c r="G12" s="55" t="s">
        <v>54</v>
      </c>
      <c r="H12" s="55" t="s">
        <v>81</v>
      </c>
      <c r="I12" s="55"/>
    </row>
    <row r="13" customFormat="false" ht="38.1" hidden="false" customHeight="true" outlineLevel="0" collapsed="false">
      <c r="A13" s="53" t="s">
        <v>52</v>
      </c>
      <c r="B13" s="54" t="n">
        <v>20000</v>
      </c>
      <c r="C13" s="54" t="n">
        <v>20000</v>
      </c>
      <c r="D13" s="55" t="s">
        <v>82</v>
      </c>
      <c r="E13" s="54" t="n">
        <v>40000</v>
      </c>
      <c r="F13" s="53" t="s">
        <v>79</v>
      </c>
      <c r="G13" s="53"/>
      <c r="H13" s="55" t="s">
        <v>83</v>
      </c>
      <c r="I13" s="55" t="s">
        <v>84</v>
      </c>
    </row>
    <row r="14" customFormat="false" ht="51.75" hidden="false" customHeight="true" outlineLevel="0" collapsed="false">
      <c r="A14" s="53" t="s">
        <v>64</v>
      </c>
      <c r="B14" s="54" t="n">
        <v>10000</v>
      </c>
      <c r="C14" s="54" t="n">
        <v>10000</v>
      </c>
      <c r="D14" s="55" t="s">
        <v>85</v>
      </c>
      <c r="E14" s="54" t="n">
        <v>20000</v>
      </c>
      <c r="F14" s="53" t="s">
        <v>79</v>
      </c>
      <c r="G14" s="55" t="s">
        <v>86</v>
      </c>
      <c r="H14" s="55" t="s">
        <v>87</v>
      </c>
      <c r="I14" s="55" t="s">
        <v>84</v>
      </c>
    </row>
    <row r="15" customFormat="false" ht="78.75" hidden="false" customHeight="true" outlineLevel="0" collapsed="false">
      <c r="A15" s="53" t="s">
        <v>71</v>
      </c>
      <c r="B15" s="54" t="n">
        <v>6250</v>
      </c>
      <c r="C15" s="54" t="n">
        <v>6250</v>
      </c>
      <c r="D15" s="55" t="s">
        <v>88</v>
      </c>
      <c r="E15" s="54" t="n">
        <v>12500</v>
      </c>
      <c r="F15" s="53" t="s">
        <v>79</v>
      </c>
      <c r="G15" s="55" t="s">
        <v>86</v>
      </c>
      <c r="H15" s="55" t="s">
        <v>89</v>
      </c>
      <c r="I15" s="55" t="s">
        <v>90</v>
      </c>
    </row>
    <row r="16" customFormat="false" ht="38.1" hidden="false" customHeight="true" outlineLevel="0" collapsed="false">
      <c r="A16" s="0"/>
      <c r="B16" s="56" t="n">
        <f aca="false">SUM(B11:B15)</f>
        <v>61250</v>
      </c>
      <c r="C16" s="56" t="n">
        <f aca="false">SUM(C11:C15)</f>
        <v>61250</v>
      </c>
      <c r="D16" s="56"/>
      <c r="E16" s="56" t="n">
        <f aca="false">SUM(E11:E15)</f>
        <v>122500</v>
      </c>
      <c r="F16" s="0"/>
      <c r="G16" s="50"/>
      <c r="H16" s="0"/>
      <c r="I16" s="0"/>
    </row>
    <row r="17" customFormat="false" ht="38.1" hidden="false" customHeight="true" outlineLevel="0" collapsed="false">
      <c r="A17" s="57"/>
      <c r="B17" s="57"/>
      <c r="C17" s="56"/>
      <c r="D17" s="56"/>
      <c r="E17" s="56"/>
      <c r="F17" s="56"/>
      <c r="G17" s="57"/>
      <c r="H17" s="0"/>
      <c r="I17" s="0"/>
    </row>
    <row r="18" customFormat="false" ht="66" hidden="false" customHeight="true" outlineLevel="0" collapsed="false">
      <c r="A18" s="58" t="s">
        <v>91</v>
      </c>
      <c r="B18" s="59" t="s">
        <v>92</v>
      </c>
      <c r="C18" s="60"/>
      <c r="D18" s="60"/>
      <c r="E18" s="60"/>
      <c r="F18" s="60"/>
      <c r="G18" s="61"/>
      <c r="H18" s="62" t="s">
        <v>93</v>
      </c>
      <c r="I18" s="62"/>
    </row>
    <row r="19" customFormat="false" ht="38.1" hidden="false" customHeight="true" outlineLevel="0" collapsed="false">
      <c r="A19" s="63"/>
      <c r="B19" s="52" t="s">
        <v>94</v>
      </c>
      <c r="C19" s="64"/>
      <c r="D19" s="64"/>
      <c r="E19" s="64"/>
      <c r="F19" s="64"/>
      <c r="G19" s="65"/>
    </row>
    <row r="20" customFormat="false" ht="38.1" hidden="false" customHeight="true" outlineLevel="0" collapsed="false">
      <c r="A20" s="66"/>
      <c r="B20" s="67" t="s">
        <v>95</v>
      </c>
      <c r="C20" s="68"/>
      <c r="D20" s="68"/>
      <c r="E20" s="68"/>
      <c r="F20" s="68"/>
      <c r="G20" s="69"/>
    </row>
  </sheetData>
  <mergeCells count="8">
    <mergeCell ref="G2:I2"/>
    <mergeCell ref="J2:L2"/>
    <mergeCell ref="A3:A4"/>
    <mergeCell ref="A5:A7"/>
    <mergeCell ref="F9:I9"/>
    <mergeCell ref="H11:I11"/>
    <mergeCell ref="H12:I12"/>
    <mergeCell ref="H18:I18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9" activeCellId="0" sqref="M9"/>
    </sheetView>
  </sheetViews>
  <sheetFormatPr defaultRowHeight="15"/>
  <cols>
    <col collapsed="false" hidden="false" max="1" min="1" style="0" width="27.2704081632653"/>
    <col collapsed="false" hidden="false" max="3" min="2" style="70" width="12.6887755102041"/>
    <col collapsed="false" hidden="false" max="7" min="4" style="0" width="10.530612244898"/>
    <col collapsed="false" hidden="false" max="8" min="8" style="0" width="16.1989795918367"/>
    <col collapsed="false" hidden="false" max="9" min="9" style="0" width="12.2857142857143"/>
    <col collapsed="false" hidden="false" max="1025" min="10" style="0" width="10.530612244898"/>
  </cols>
  <sheetData>
    <row r="1" customFormat="false" ht="15" hidden="false" customHeight="false" outlineLevel="0" collapsed="false">
      <c r="B1" s="18" t="s">
        <v>18</v>
      </c>
      <c r="C1" s="0"/>
      <c r="D1" s="19" t="s">
        <v>19</v>
      </c>
      <c r="G1" s="19" t="s">
        <v>20</v>
      </c>
      <c r="H1" s="19" t="s">
        <v>96</v>
      </c>
      <c r="I1" s="19" t="s">
        <v>21</v>
      </c>
    </row>
    <row r="2" customFormat="false" ht="15" hidden="false" customHeight="false" outlineLevel="0" collapsed="false">
      <c r="A2" s="21" t="s">
        <v>23</v>
      </c>
      <c r="B2" s="22" t="n">
        <v>1727.43</v>
      </c>
      <c r="C2" s="0"/>
      <c r="D2" s="22" t="n">
        <v>1480.3</v>
      </c>
      <c r="E2" s="22"/>
      <c r="F2" s="22"/>
      <c r="G2" s="22" t="n">
        <v>1184.18</v>
      </c>
      <c r="H2" s="22" t="n">
        <f aca="false">151.67*9.76</f>
        <v>1480.2992</v>
      </c>
      <c r="I2" s="22" t="n">
        <v>1480.3</v>
      </c>
    </row>
    <row r="3" customFormat="false" ht="15" hidden="false" customHeight="false" outlineLevel="0" collapsed="false">
      <c r="A3" s="21" t="s">
        <v>24</v>
      </c>
      <c r="B3" s="22" t="n">
        <v>517.74</v>
      </c>
      <c r="C3" s="22"/>
      <c r="D3" s="22" t="n">
        <v>252.07</v>
      </c>
      <c r="E3" s="22"/>
      <c r="F3" s="22"/>
      <c r="G3" s="22" t="n">
        <v>221.83</v>
      </c>
      <c r="I3" s="22" t="n">
        <v>266.87</v>
      </c>
      <c r="J3" s="28" t="n">
        <f aca="false">I3/151.67</f>
        <v>1.75954374629129</v>
      </c>
    </row>
    <row r="4" customFormat="false" ht="15" hidden="false" customHeight="false" outlineLevel="0" collapsed="false">
      <c r="A4" s="21" t="s">
        <v>25</v>
      </c>
      <c r="B4" s="22" t="n">
        <f aca="false">(+B2+B3)</f>
        <v>2245.17</v>
      </c>
      <c r="C4" s="22"/>
      <c r="D4" s="22" t="n">
        <f aca="false">(+D2+D3)</f>
        <v>1732.37</v>
      </c>
      <c r="E4" s="22"/>
      <c r="F4" s="22"/>
      <c r="G4" s="22" t="n">
        <f aca="false">(+G2+G3)</f>
        <v>1406.01</v>
      </c>
      <c r="H4" s="0" t="n">
        <f aca="false">(9.76+1.83)*151.67</f>
        <v>1757.8553</v>
      </c>
      <c r="I4" s="22" t="n">
        <f aca="false">(+I2+I3)</f>
        <v>1747.17</v>
      </c>
    </row>
    <row r="5" customFormat="false" ht="15" hidden="false" customHeight="false" outlineLevel="0" collapsed="false">
      <c r="A5" s="21" t="s">
        <v>26</v>
      </c>
      <c r="B5" s="22" t="n">
        <f aca="false">+B4*0.1</f>
        <v>224.517</v>
      </c>
      <c r="C5" s="22"/>
      <c r="D5" s="22" t="n">
        <f aca="false">+D4*0.1</f>
        <v>173.237</v>
      </c>
      <c r="E5" s="22"/>
      <c r="F5" s="22"/>
      <c r="G5" s="22" t="n">
        <f aca="false">+G4*0.1</f>
        <v>140.601</v>
      </c>
      <c r="H5" s="22" t="n">
        <f aca="false">+H4*0.1</f>
        <v>175.78553</v>
      </c>
      <c r="I5" s="22" t="n">
        <f aca="false">+I4*0.1</f>
        <v>174.717</v>
      </c>
    </row>
    <row r="6" customFormat="false" ht="15" hidden="false" customHeight="false" outlineLevel="0" collapsed="false">
      <c r="A6" s="21"/>
      <c r="B6" s="22" t="n">
        <f aca="false">SUM(B4:B5)</f>
        <v>2469.687</v>
      </c>
      <c r="C6" s="22"/>
      <c r="D6" s="22" t="n">
        <f aca="false">SUM(D4:D5)</f>
        <v>1905.607</v>
      </c>
      <c r="E6" s="22"/>
      <c r="F6" s="22"/>
      <c r="G6" s="22" t="n">
        <f aca="false">SUM(G4:G5)</f>
        <v>1546.611</v>
      </c>
      <c r="H6" s="22" t="n">
        <f aca="false">SUM(H4:H5)</f>
        <v>1933.64083</v>
      </c>
      <c r="I6" s="25" t="n">
        <f aca="false">SUM(I4:I5)</f>
        <v>1921.887</v>
      </c>
    </row>
    <row r="7" customFormat="false" ht="15" hidden="false" customHeight="false" outlineLevel="0" collapsed="false">
      <c r="A7" s="21"/>
      <c r="B7" s="25" t="n">
        <v>2470</v>
      </c>
      <c r="C7" s="25"/>
      <c r="D7" s="25" t="n">
        <v>1906</v>
      </c>
      <c r="E7" s="25"/>
      <c r="F7" s="25"/>
      <c r="G7" s="22" t="n">
        <v>1547</v>
      </c>
      <c r="H7" s="25" t="n">
        <v>1922</v>
      </c>
      <c r="I7" s="25"/>
    </row>
    <row r="8" customFormat="false" ht="15" hidden="false" customHeight="false" outlineLevel="0" collapsed="false">
      <c r="A8" s="21"/>
      <c r="B8" s="25"/>
      <c r="C8" s="25"/>
      <c r="D8" s="25"/>
      <c r="E8" s="25"/>
      <c r="F8" s="25"/>
      <c r="G8" s="22"/>
      <c r="H8" s="25"/>
      <c r="I8" s="25"/>
    </row>
    <row r="9" customFormat="false" ht="15" hidden="false" customHeight="false" outlineLevel="0" collapsed="false">
      <c r="A9" s="21" t="s">
        <v>27</v>
      </c>
      <c r="B9" s="25" t="n">
        <f aca="false">B6/151.67</f>
        <v>16.2832926748863</v>
      </c>
      <c r="C9" s="25"/>
      <c r="D9" s="25" t="n">
        <f aca="false">D6/151.67</f>
        <v>12.5641656227336</v>
      </c>
      <c r="E9" s="25"/>
      <c r="F9" s="25"/>
      <c r="G9" s="22" t="n">
        <f aca="false">G6/121.33</f>
        <v>12.7471441523119</v>
      </c>
      <c r="H9" s="25" t="n">
        <f aca="false">H7/151.67</f>
        <v>12.6722489615613</v>
      </c>
      <c r="I9" s="25" t="n">
        <f aca="false">I6/151.67</f>
        <v>12.6715039229907</v>
      </c>
    </row>
    <row r="10" customFormat="false" ht="15" hidden="false" customHeight="false" outlineLevel="0" collapsed="false">
      <c r="A10" s="71" t="s">
        <v>97</v>
      </c>
      <c r="B10" s="22" t="n">
        <f aca="false">B9*0.135</f>
        <v>2.19824451110965</v>
      </c>
      <c r="C10" s="22"/>
      <c r="D10" s="22" t="n">
        <f aca="false">D9*0.135</f>
        <v>1.69616235906903</v>
      </c>
      <c r="E10" s="22"/>
      <c r="F10" s="22"/>
      <c r="G10" s="22" t="n">
        <f aca="false">G9*0.135</f>
        <v>1.7208644605621</v>
      </c>
      <c r="H10" s="22" t="n">
        <f aca="false">H9*0.135</f>
        <v>1.71075360981077</v>
      </c>
      <c r="I10" s="22" t="n">
        <f aca="false">I9*0.135</f>
        <v>1.71065302960375</v>
      </c>
    </row>
    <row r="11" customFormat="false" ht="15" hidden="false" customHeight="false" outlineLevel="0" collapsed="false">
      <c r="A11" s="21" t="s">
        <v>98</v>
      </c>
      <c r="B11" s="22" t="n">
        <f aca="false">SUM(B9:B10)</f>
        <v>18.4815371859959</v>
      </c>
      <c r="C11" s="22"/>
      <c r="D11" s="22" t="n">
        <f aca="false">SUM(D9:D10)</f>
        <v>14.2603279818026</v>
      </c>
      <c r="E11" s="22"/>
      <c r="F11" s="22"/>
      <c r="G11" s="22" t="n">
        <f aca="false">SUM(G9:G10)</f>
        <v>14.468008612874</v>
      </c>
      <c r="H11" s="22" t="n">
        <f aca="false">SUM(H9:H10)</f>
        <v>14.3830025713721</v>
      </c>
      <c r="I11" s="22" t="n">
        <f aca="false">SUM(I9:I10)</f>
        <v>14.3821569525945</v>
      </c>
    </row>
    <row r="12" customFormat="false" ht="15" hidden="false" customHeight="false" outlineLevel="0" collapsed="false">
      <c r="A12" s="21" t="s">
        <v>99</v>
      </c>
      <c r="B12" s="22" t="n">
        <f aca="false">B11*7</f>
        <v>129.370760301971</v>
      </c>
      <c r="C12" s="22"/>
      <c r="D12" s="22" t="n">
        <f aca="false">D11*7</f>
        <v>99.8222958726182</v>
      </c>
      <c r="E12" s="22"/>
      <c r="F12" s="22"/>
      <c r="G12" s="22" t="n">
        <f aca="false">G11*7</f>
        <v>101.276060290118</v>
      </c>
      <c r="H12" s="22" t="n">
        <f aca="false">H11*7</f>
        <v>100.681017999604</v>
      </c>
      <c r="I12" s="22" t="n">
        <f aca="false">I11*7</f>
        <v>100.675098668161</v>
      </c>
    </row>
    <row r="13" customFormat="false" ht="15" hidden="false" customHeight="false" outlineLevel="0" collapsed="false">
      <c r="A13" s="21"/>
      <c r="B13" s="22"/>
      <c r="C13" s="22"/>
      <c r="D13" s="22"/>
      <c r="E13" s="22"/>
      <c r="F13" s="22"/>
      <c r="G13" s="22"/>
      <c r="H13" s="22"/>
      <c r="I13" s="22"/>
    </row>
    <row r="14" customFormat="false" ht="15" hidden="false" customHeight="false" outlineLevel="0" collapsed="false">
      <c r="A14" s="21" t="s">
        <v>28</v>
      </c>
      <c r="B14" s="22" t="n">
        <f aca="false">+B4+B5</f>
        <v>2469.687</v>
      </c>
      <c r="C14" s="22"/>
      <c r="D14" s="22" t="n">
        <f aca="false">+D4+D5</f>
        <v>1905.607</v>
      </c>
      <c r="E14" s="22"/>
      <c r="F14" s="22"/>
      <c r="G14" s="22" t="n">
        <f aca="false">+G9*151.67</f>
        <v>1933.35935358114</v>
      </c>
      <c r="H14" s="22"/>
      <c r="I14" s="22" t="n">
        <f aca="false">+I4+I5</f>
        <v>1921.887</v>
      </c>
    </row>
    <row r="15" customFormat="false" ht="15" hidden="false" customHeight="false" outlineLevel="0" collapsed="false">
      <c r="A15" s="21" t="s">
        <v>29</v>
      </c>
      <c r="B15" s="22" t="n">
        <f aca="false">+B14*3</f>
        <v>7409.061</v>
      </c>
      <c r="C15" s="22"/>
      <c r="D15" s="22" t="n">
        <f aca="false">+D14*3</f>
        <v>5716.821</v>
      </c>
      <c r="E15" s="22"/>
      <c r="F15" s="22"/>
      <c r="G15" s="22" t="n">
        <f aca="false">+G14*3</f>
        <v>5800.07806074343</v>
      </c>
      <c r="H15" s="22"/>
      <c r="I15" s="22" t="n">
        <f aca="false">+I14*3</f>
        <v>5765.661</v>
      </c>
    </row>
    <row r="16" customFormat="false" ht="15" hidden="false" customHeight="false" outlineLevel="0" collapsed="false">
      <c r="B16" s="0"/>
      <c r="C16" s="0"/>
      <c r="H16" s="22" t="n">
        <f aca="false">221.83/121.33</f>
        <v>1.82831945932581</v>
      </c>
    </row>
    <row r="17" customFormat="false" ht="15" hidden="false" customHeight="false" outlineLevel="0" collapsed="false">
      <c r="B17" s="0"/>
      <c r="C17" s="0"/>
      <c r="H17" s="28" t="n">
        <f aca="false">H16*151.67</f>
        <v>277.301212395945</v>
      </c>
    </row>
    <row r="18" customFormat="false" ht="15" hidden="false" customHeight="false" outlineLevel="0" collapsed="false">
      <c r="B18" s="0"/>
      <c r="C18" s="0"/>
      <c r="H18" s="28" t="n">
        <f aca="false">H16+9.76</f>
        <v>11.5883194593258</v>
      </c>
    </row>
    <row r="19" customFormat="false" ht="15" hidden="false" customHeight="false" outlineLevel="0" collapsed="false">
      <c r="B19" s="0"/>
      <c r="C19" s="0"/>
      <c r="H19" s="28" t="n">
        <f aca="false">H18*0.1</f>
        <v>1.15883194593258</v>
      </c>
    </row>
    <row r="20" customFormat="false" ht="15" hidden="false" customHeight="false" outlineLevel="0" collapsed="false">
      <c r="B20" s="0"/>
      <c r="C20" s="0"/>
      <c r="H20" s="28" t="n">
        <f aca="false">SUM(H18:H19)</f>
        <v>12.7471514052584</v>
      </c>
    </row>
    <row r="21" customFormat="false" ht="15" hidden="false" customHeight="false" outlineLevel="0" collapsed="false">
      <c r="A21" s="72" t="s">
        <v>100</v>
      </c>
      <c r="B21" s="0"/>
      <c r="C21" s="0"/>
      <c r="H21" s="28" t="n">
        <f aca="false">H20*151.67</f>
        <v>1933.36045363554</v>
      </c>
    </row>
    <row r="22" customFormat="false" ht="15" hidden="false" customHeight="false" outlineLevel="0" collapsed="false">
      <c r="B22" s="18" t="s">
        <v>18</v>
      </c>
      <c r="C22" s="18"/>
      <c r="D22" s="19" t="s">
        <v>19</v>
      </c>
      <c r="E22" s="19"/>
      <c r="F22" s="19"/>
      <c r="G22" s="19" t="s">
        <v>20</v>
      </c>
      <c r="H22" s="19" t="s">
        <v>96</v>
      </c>
      <c r="I22" s="19" t="s">
        <v>21</v>
      </c>
    </row>
    <row r="23" customFormat="false" ht="15" hidden="false" customHeight="false" outlineLevel="0" collapsed="false">
      <c r="A23" s="21" t="s">
        <v>23</v>
      </c>
      <c r="B23" s="25" t="n">
        <v>1727.43</v>
      </c>
      <c r="C23" s="25"/>
      <c r="D23" s="25" t="n">
        <v>1480.3</v>
      </c>
      <c r="E23" s="25"/>
      <c r="F23" s="25"/>
      <c r="G23" s="22" t="n">
        <v>1184.18</v>
      </c>
      <c r="H23" s="22" t="n">
        <f aca="false">151.67*9.76</f>
        <v>1480.2992</v>
      </c>
      <c r="I23" s="22" t="n">
        <v>1480.3</v>
      </c>
    </row>
    <row r="24" customFormat="false" ht="15" hidden="false" customHeight="false" outlineLevel="0" collapsed="false">
      <c r="A24" s="21" t="s">
        <v>24</v>
      </c>
      <c r="B24" s="25" t="n">
        <v>516.89</v>
      </c>
      <c r="C24" s="25"/>
      <c r="D24" s="25" t="n">
        <v>251.34</v>
      </c>
      <c r="E24" s="25"/>
      <c r="F24" s="25"/>
      <c r="G24" s="22" t="n">
        <v>221.83</v>
      </c>
      <c r="I24" s="22" t="n">
        <v>266.87</v>
      </c>
    </row>
    <row r="25" customFormat="false" ht="15" hidden="false" customHeight="false" outlineLevel="0" collapsed="false">
      <c r="A25" s="21" t="s">
        <v>25</v>
      </c>
      <c r="B25" s="73" t="n">
        <f aca="false">(+B23+B24)</f>
        <v>2244.32</v>
      </c>
      <c r="C25" s="73"/>
      <c r="D25" s="73" t="n">
        <f aca="false">(+D23+D24)</f>
        <v>1731.64</v>
      </c>
      <c r="E25" s="73"/>
      <c r="F25" s="73"/>
      <c r="G25" s="73" t="n">
        <f aca="false">(+G23+G24)</f>
        <v>1406.01</v>
      </c>
      <c r="H25" s="74" t="n">
        <f aca="false">(9.76+1.83)*151.67</f>
        <v>1757.8553</v>
      </c>
      <c r="I25" s="73" t="n">
        <f aca="false">(+I23+I24)</f>
        <v>1747.17</v>
      </c>
      <c r="J25" s="74"/>
    </row>
    <row r="26" customFormat="false" ht="15" hidden="false" customHeight="false" outlineLevel="0" collapsed="false">
      <c r="A26" s="21" t="s">
        <v>27</v>
      </c>
      <c r="B26" s="73" t="n">
        <f aca="false">B25/151.67</f>
        <v>14.7973890683721</v>
      </c>
      <c r="C26" s="73"/>
      <c r="D26" s="73" t="n">
        <f aca="false">D25/151.67</f>
        <v>11.4171556669084</v>
      </c>
      <c r="E26" s="73"/>
      <c r="F26" s="73"/>
      <c r="G26" s="73" t="n">
        <f aca="false">G25/151.67</f>
        <v>9.27019186391508</v>
      </c>
      <c r="H26" s="73" t="n">
        <f aca="false">H25/151.67</f>
        <v>11.59</v>
      </c>
      <c r="I26" s="73" t="n">
        <f aca="false">I25/151.67</f>
        <v>11.5195490209006</v>
      </c>
      <c r="J26" s="74"/>
    </row>
    <row r="27" customFormat="false" ht="15" hidden="false" customHeight="false" outlineLevel="0" collapsed="false">
      <c r="A27" s="21" t="s">
        <v>99</v>
      </c>
      <c r="B27" s="22" t="n">
        <f aca="false">B26*7</f>
        <v>103.581723478605</v>
      </c>
      <c r="C27" s="22"/>
      <c r="D27" s="22" t="n">
        <f aca="false">D26*7</f>
        <v>79.9200896683589</v>
      </c>
      <c r="E27" s="22"/>
      <c r="F27" s="22"/>
      <c r="G27" s="22" t="n">
        <f aca="false">G26*7</f>
        <v>64.8913430474056</v>
      </c>
      <c r="H27" s="22" t="n">
        <f aca="false">H26*7</f>
        <v>81.13</v>
      </c>
      <c r="I27" s="22" t="n">
        <f aca="false">I26*7</f>
        <v>80.6368431463045</v>
      </c>
    </row>
    <row r="28" customFormat="false" ht="15" hidden="false" customHeight="false" outlineLevel="0" collapsed="false">
      <c r="A28" s="21"/>
      <c r="B28" s="22"/>
      <c r="C28" s="22"/>
      <c r="D28" s="22"/>
      <c r="E28" s="22"/>
      <c r="F28" s="22"/>
      <c r="G28" s="22"/>
      <c r="H28" s="22"/>
      <c r="I28" s="22"/>
    </row>
    <row r="29" customFormat="false" ht="15" hidden="false" customHeight="false" outlineLevel="0" collapsed="false">
      <c r="A29" s="21" t="s">
        <v>28</v>
      </c>
      <c r="B29" s="22" t="n">
        <f aca="false">B25</f>
        <v>2244.32</v>
      </c>
      <c r="C29" s="22" t="n">
        <f aca="false">C25</f>
        <v>0</v>
      </c>
      <c r="D29" s="22" t="n">
        <f aca="false">D25</f>
        <v>1731.64</v>
      </c>
      <c r="E29" s="22" t="n">
        <f aca="false">E25</f>
        <v>0</v>
      </c>
      <c r="F29" s="22"/>
      <c r="G29" s="22" t="n">
        <f aca="false">G25</f>
        <v>1406.01</v>
      </c>
      <c r="H29" s="22" t="n">
        <f aca="false">H25</f>
        <v>1757.8553</v>
      </c>
      <c r="I29" s="22" t="n">
        <f aca="false">I25</f>
        <v>1747.17</v>
      </c>
    </row>
    <row r="30" customFormat="false" ht="15" hidden="false" customHeight="false" outlineLevel="0" collapsed="false">
      <c r="A30" s="21" t="s">
        <v>29</v>
      </c>
      <c r="B30" s="22" t="n">
        <f aca="false">+B29*3</f>
        <v>6732.96</v>
      </c>
      <c r="C30" s="22" t="n">
        <f aca="false">+C29*3</f>
        <v>0</v>
      </c>
      <c r="D30" s="22" t="n">
        <f aca="false">+D29*3</f>
        <v>5194.92</v>
      </c>
      <c r="E30" s="22" t="n">
        <f aca="false">+E29*3</f>
        <v>0</v>
      </c>
      <c r="F30" s="22"/>
      <c r="G30" s="22" t="n">
        <f aca="false">+G29*3</f>
        <v>4218.03</v>
      </c>
      <c r="H30" s="22" t="n">
        <f aca="false">+H29*3</f>
        <v>5273.5659</v>
      </c>
      <c r="I30" s="22" t="n">
        <f aca="false">+I29*3</f>
        <v>5241.51</v>
      </c>
    </row>
    <row r="32" customFormat="false" ht="15" hidden="false" customHeight="false" outlineLevel="0" collapsed="false">
      <c r="A32" s="72" t="s">
        <v>101</v>
      </c>
      <c r="B32" s="0"/>
      <c r="C32" s="0"/>
      <c r="H32" s="28" t="n">
        <f aca="false">H31*151.67</f>
        <v>0</v>
      </c>
    </row>
    <row r="33" customFormat="false" ht="15" hidden="false" customHeight="false" outlineLevel="0" collapsed="false">
      <c r="B33" s="18" t="s">
        <v>102</v>
      </c>
      <c r="C33" s="18" t="s">
        <v>103</v>
      </c>
      <c r="D33" s="19" t="s">
        <v>104</v>
      </c>
      <c r="E33" s="19" t="s">
        <v>105</v>
      </c>
      <c r="F33" s="19"/>
      <c r="G33" s="19" t="s">
        <v>20</v>
      </c>
      <c r="H33" s="19" t="s">
        <v>96</v>
      </c>
      <c r="I33" s="19" t="s">
        <v>21</v>
      </c>
    </row>
    <row r="34" customFormat="false" ht="15" hidden="false" customHeight="false" outlineLevel="0" collapsed="false">
      <c r="A34" s="21" t="s">
        <v>23</v>
      </c>
      <c r="B34" s="25" t="n">
        <v>1727.43</v>
      </c>
      <c r="C34" s="25" t="n">
        <v>1745.02</v>
      </c>
      <c r="D34" s="25" t="n">
        <v>1480.3</v>
      </c>
      <c r="E34" s="25" t="n">
        <v>1745.02</v>
      </c>
      <c r="F34" s="25"/>
      <c r="G34" s="25" t="n">
        <v>1184.18</v>
      </c>
      <c r="H34" s="25" t="n">
        <f aca="false">151.67*9.76</f>
        <v>1480.2992</v>
      </c>
      <c r="I34" s="25" t="n">
        <v>1480.3</v>
      </c>
    </row>
    <row r="35" customFormat="false" ht="15" hidden="false" customHeight="false" outlineLevel="0" collapsed="false">
      <c r="A35" s="21" t="s">
        <v>24</v>
      </c>
      <c r="B35" s="25" t="n">
        <v>517.74</v>
      </c>
      <c r="C35" s="25" t="n">
        <v>533.75</v>
      </c>
      <c r="D35" s="25" t="n">
        <v>252.08</v>
      </c>
      <c r="E35" s="25" t="n">
        <v>533.84</v>
      </c>
      <c r="F35" s="25"/>
      <c r="G35" s="25" t="n">
        <v>221.83</v>
      </c>
      <c r="H35" s="75"/>
      <c r="I35" s="25" t="n">
        <v>266.87</v>
      </c>
    </row>
    <row r="36" customFormat="false" ht="15" hidden="false" customHeight="false" outlineLevel="0" collapsed="false">
      <c r="A36" s="21" t="s">
        <v>25</v>
      </c>
      <c r="B36" s="25" t="n">
        <f aca="false">(+B34+B35)</f>
        <v>2245.17</v>
      </c>
      <c r="C36" s="25" t="n">
        <f aca="false">(+C34+C35)</f>
        <v>2278.77</v>
      </c>
      <c r="D36" s="25" t="n">
        <f aca="false">(+D34+D35)</f>
        <v>1732.38</v>
      </c>
      <c r="E36" s="25" t="n">
        <f aca="false">(+E34+E35)</f>
        <v>2278.86</v>
      </c>
      <c r="F36" s="25"/>
      <c r="G36" s="25" t="n">
        <f aca="false">(+G34+G35)</f>
        <v>1406.01</v>
      </c>
      <c r="H36" s="75" t="n">
        <f aca="false">(9.76+1.83)*151.67</f>
        <v>1757.8553</v>
      </c>
      <c r="I36" s="25" t="n">
        <f aca="false">(+I34+I35)</f>
        <v>1747.17</v>
      </c>
    </row>
    <row r="37" customFormat="false" ht="15" hidden="false" customHeight="false" outlineLevel="0" collapsed="false">
      <c r="A37" s="21" t="s">
        <v>27</v>
      </c>
      <c r="B37" s="25" t="n">
        <f aca="false">B36/151.67</f>
        <v>14.8029933408057</v>
      </c>
      <c r="C37" s="25" t="n">
        <f aca="false">C36/151.67</f>
        <v>15.024526933474</v>
      </c>
      <c r="D37" s="25" t="n">
        <f aca="false">D36/151.67</f>
        <v>11.4220346805565</v>
      </c>
      <c r="E37" s="25" t="n">
        <f aca="false">E36/151.67</f>
        <v>15.0251203270258</v>
      </c>
      <c r="F37" s="25"/>
      <c r="G37" s="25" t="n">
        <f aca="false">G36/151.67</f>
        <v>9.27019186391508</v>
      </c>
      <c r="H37" s="25" t="n">
        <f aca="false">H36/151.67</f>
        <v>11.59</v>
      </c>
      <c r="I37" s="25" t="n">
        <f aca="false">I36/151.67</f>
        <v>11.5195490209006</v>
      </c>
    </row>
    <row r="38" customFormat="false" ht="15" hidden="false" customHeight="false" outlineLevel="0" collapsed="false">
      <c r="A38" s="21" t="s">
        <v>99</v>
      </c>
      <c r="B38" s="22" t="n">
        <f aca="false">B37*7</f>
        <v>103.62095338564</v>
      </c>
      <c r="C38" s="22" t="n">
        <f aca="false">C37*7</f>
        <v>105.171688534318</v>
      </c>
      <c r="D38" s="22" t="n">
        <f aca="false">D37*7</f>
        <v>79.9542427638953</v>
      </c>
      <c r="E38" s="22" t="n">
        <f aca="false">E37*7</f>
        <v>105.17584228918</v>
      </c>
      <c r="F38" s="22"/>
      <c r="G38" s="22" t="n">
        <f aca="false">G37*7</f>
        <v>64.8913430474056</v>
      </c>
      <c r="H38" s="22" t="n">
        <f aca="false">H37*7</f>
        <v>81.13</v>
      </c>
      <c r="I38" s="22" t="n">
        <f aca="false">I37*7</f>
        <v>80.6368431463045</v>
      </c>
    </row>
    <row r="39" customFormat="false" ht="15" hidden="false" customHeight="false" outlineLevel="0" collapsed="false">
      <c r="A39" s="21"/>
      <c r="B39" s="22"/>
      <c r="C39" s="22"/>
      <c r="D39" s="22"/>
      <c r="E39" s="22"/>
      <c r="F39" s="22"/>
      <c r="G39" s="22"/>
      <c r="H39" s="22"/>
      <c r="I39" s="22"/>
    </row>
    <row r="40" customFormat="false" ht="15" hidden="false" customHeight="false" outlineLevel="0" collapsed="false">
      <c r="A40" s="21" t="s">
        <v>28</v>
      </c>
      <c r="B40" s="22" t="n">
        <f aca="false">B36</f>
        <v>2245.17</v>
      </c>
      <c r="C40" s="22" t="n">
        <f aca="false">C36</f>
        <v>2278.77</v>
      </c>
      <c r="D40" s="22" t="n">
        <f aca="false">D36</f>
        <v>1732.38</v>
      </c>
      <c r="E40" s="22" t="n">
        <f aca="false">E36</f>
        <v>2278.86</v>
      </c>
      <c r="F40" s="22"/>
      <c r="G40" s="22" t="n">
        <f aca="false">G36</f>
        <v>1406.01</v>
      </c>
      <c r="H40" s="22" t="n">
        <f aca="false">H36</f>
        <v>1757.8553</v>
      </c>
      <c r="I40" s="22" t="n">
        <f aca="false">I36</f>
        <v>1747.17</v>
      </c>
    </row>
    <row r="41" customFormat="false" ht="15" hidden="false" customHeight="false" outlineLevel="0" collapsed="false">
      <c r="A41" s="21" t="s">
        <v>29</v>
      </c>
      <c r="B41" s="22" t="n">
        <f aca="false">+B40*3</f>
        <v>6735.51</v>
      </c>
      <c r="C41" s="22" t="n">
        <f aca="false">+C40*3</f>
        <v>6836.31</v>
      </c>
      <c r="D41" s="22" t="n">
        <f aca="false">+D40*3</f>
        <v>5197.14</v>
      </c>
      <c r="E41" s="22" t="n">
        <f aca="false">+E40*3</f>
        <v>6836.58</v>
      </c>
      <c r="F41" s="22"/>
      <c r="G41" s="22" t="n">
        <f aca="false">+G40*3</f>
        <v>4218.03</v>
      </c>
      <c r="H41" s="22" t="n">
        <f aca="false">+H40*3</f>
        <v>5273.5659</v>
      </c>
      <c r="I41" s="22" t="n">
        <f aca="false">+I40*3</f>
        <v>5241.51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Y6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2" zoomScaleNormal="82" zoomScalePageLayoutView="100" workbookViewId="0">
      <selection pane="topLeft" activeCell="A38" activeCellId="0" sqref="A38"/>
    </sheetView>
  </sheetViews>
  <sheetFormatPr defaultRowHeight="15.75"/>
  <cols>
    <col collapsed="false" hidden="false" max="1" min="1" style="76" width="17.1428571428571"/>
    <col collapsed="false" hidden="false" max="2" min="2" style="77" width="5.39795918367347"/>
    <col collapsed="false" hidden="false" max="3" min="3" style="77" width="13.0918367346939"/>
    <col collapsed="false" hidden="false" max="4" min="4" style="78" width="9.58673469387755"/>
    <col collapsed="false" hidden="false" max="5" min="5" style="77" width="11.8775510204082"/>
    <col collapsed="false" hidden="false" max="6" min="6" style="79" width="13.0918367346939"/>
    <col collapsed="false" hidden="false" max="7" min="7" style="78" width="9.58673469387755"/>
    <col collapsed="false" hidden="false" max="8" min="8" style="77" width="11.2040816326531"/>
    <col collapsed="false" hidden="false" max="9" min="9" style="77" width="9.71938775510204"/>
    <col collapsed="false" hidden="false" max="10" min="10" style="77" width="12.5561224489796"/>
    <col collapsed="false" hidden="false" max="11" min="11" style="77" width="10.8010204081633"/>
    <col collapsed="false" hidden="false" max="12" min="12" style="77" width="9.71938775510204"/>
    <col collapsed="false" hidden="false" max="13" min="13" style="77" width="12.1479591836735"/>
    <col collapsed="false" hidden="false" max="14" min="14" style="77" width="11.8775510204082"/>
    <col collapsed="false" hidden="false" max="15" min="15" style="77" width="11.6071428571429"/>
    <col collapsed="false" hidden="false" max="16" min="16" style="77" width="9.98979591836735"/>
    <col collapsed="false" hidden="false" max="17" min="17" style="79" width="11.7448979591837"/>
    <col collapsed="false" hidden="false" max="18" min="18" style="77" width="14.4438775510204"/>
    <col collapsed="false" hidden="false" max="19" min="19" style="79" width="12.4183673469388"/>
    <col collapsed="false" hidden="false" max="20" min="20" style="77" width="7.4234693877551"/>
    <col collapsed="false" hidden="false" max="21" min="21" style="78" width="10.8010204081633"/>
    <col collapsed="false" hidden="false" max="22" min="22" style="76" width="27.5408163265306"/>
    <col collapsed="false" hidden="false" max="23" min="23" style="76" width="9.71938775510204"/>
    <col collapsed="false" hidden="false" max="24" min="24" style="77" width="12.6887755102041"/>
    <col collapsed="false" hidden="false" max="1025" min="25" style="77" width="11.2040816326531"/>
  </cols>
  <sheetData>
    <row r="1" customFormat="false" ht="33.75" hidden="false" customHeight="false" outlineLevel="0" collapsed="false">
      <c r="A1" s="80"/>
      <c r="B1" s="81" t="s">
        <v>106</v>
      </c>
      <c r="C1" s="82" t="s">
        <v>1</v>
      </c>
      <c r="D1" s="82"/>
      <c r="E1" s="83"/>
      <c r="F1" s="82" t="s">
        <v>2</v>
      </c>
      <c r="G1" s="82"/>
      <c r="H1" s="83"/>
      <c r="I1" s="84" t="s">
        <v>3</v>
      </c>
      <c r="J1" s="84"/>
      <c r="K1" s="85"/>
      <c r="L1" s="82" t="s">
        <v>4</v>
      </c>
      <c r="M1" s="82"/>
      <c r="N1" s="83"/>
      <c r="O1" s="86" t="s">
        <v>107</v>
      </c>
      <c r="P1" s="87" t="s">
        <v>108</v>
      </c>
      <c r="Q1" s="88" t="s">
        <v>109</v>
      </c>
      <c r="R1" s="89" t="s">
        <v>110</v>
      </c>
      <c r="S1" s="90" t="s">
        <v>6</v>
      </c>
      <c r="T1" s="91" t="s">
        <v>111</v>
      </c>
      <c r="U1" s="92"/>
      <c r="V1" s="0"/>
      <c r="W1" s="0"/>
      <c r="X1" s="0"/>
      <c r="Y1" s="0"/>
    </row>
    <row r="2" customFormat="false" ht="15.75" hidden="false" customHeight="false" outlineLevel="0" collapsed="false">
      <c r="A2" s="93" t="s">
        <v>112</v>
      </c>
      <c r="B2" s="94"/>
      <c r="C2" s="95"/>
      <c r="D2" s="96"/>
      <c r="E2" s="97"/>
      <c r="F2" s="98"/>
      <c r="G2" s="96"/>
      <c r="H2" s="97"/>
      <c r="I2" s="99" t="s">
        <v>113</v>
      </c>
      <c r="J2" s="100" t="n">
        <v>11.45</v>
      </c>
      <c r="K2" s="94"/>
      <c r="L2" s="99" t="s">
        <v>113</v>
      </c>
      <c r="M2" s="100" t="n">
        <v>11.42</v>
      </c>
      <c r="N2" s="97" t="s">
        <v>114</v>
      </c>
      <c r="O2" s="98"/>
      <c r="P2" s="101"/>
      <c r="Q2" s="102"/>
      <c r="R2" s="103"/>
      <c r="S2" s="104"/>
      <c r="T2" s="101"/>
      <c r="U2" s="96"/>
      <c r="V2" s="0"/>
      <c r="W2" s="0"/>
      <c r="X2" s="0"/>
      <c r="Y2" s="0"/>
    </row>
    <row r="3" customFormat="false" ht="15.75" hidden="false" customHeight="false" outlineLevel="0" collapsed="false">
      <c r="A3" s="93"/>
      <c r="B3" s="94"/>
      <c r="C3" s="95"/>
      <c r="D3" s="96"/>
      <c r="E3" s="97"/>
      <c r="F3" s="98"/>
      <c r="G3" s="96"/>
      <c r="H3" s="97"/>
      <c r="I3" s="99"/>
      <c r="J3" s="100"/>
      <c r="K3" s="94"/>
      <c r="L3" s="99" t="s">
        <v>113</v>
      </c>
      <c r="M3" s="100"/>
      <c r="N3" s="97" t="s">
        <v>115</v>
      </c>
      <c r="O3" s="98"/>
      <c r="P3" s="101"/>
      <c r="Q3" s="102"/>
      <c r="R3" s="103"/>
      <c r="S3" s="104"/>
      <c r="T3" s="101"/>
      <c r="U3" s="96"/>
      <c r="V3" s="0"/>
      <c r="W3" s="0"/>
      <c r="X3" s="0"/>
      <c r="Y3" s="0"/>
    </row>
    <row r="4" customFormat="false" ht="25.5" hidden="false" customHeight="false" outlineLevel="0" collapsed="false">
      <c r="A4" s="93" t="s">
        <v>116</v>
      </c>
      <c r="B4" s="105" t="n">
        <f aca="false">Q4/100</f>
        <v>44</v>
      </c>
      <c r="C4" s="95" t="n">
        <v>1100</v>
      </c>
      <c r="D4" s="96"/>
      <c r="E4" s="97"/>
      <c r="F4" s="98" t="n">
        <v>1100</v>
      </c>
      <c r="G4" s="96"/>
      <c r="H4" s="97"/>
      <c r="I4" s="103" t="n">
        <v>1100</v>
      </c>
      <c r="J4" s="101"/>
      <c r="K4" s="94"/>
      <c r="L4" s="95" t="n">
        <v>1100</v>
      </c>
      <c r="M4" s="101"/>
      <c r="N4" s="97"/>
      <c r="O4" s="98"/>
      <c r="P4" s="101"/>
      <c r="Q4" s="106" t="n">
        <f aca="false">SUM(C4:L4)</f>
        <v>4400</v>
      </c>
      <c r="R4" s="107"/>
      <c r="S4" s="96" t="n">
        <v>3500</v>
      </c>
      <c r="T4" s="108" t="n">
        <f aca="false">S4/Q4</f>
        <v>0.795454545454546</v>
      </c>
      <c r="U4" s="109" t="s">
        <v>117</v>
      </c>
      <c r="V4" s="110" t="n">
        <f aca="true">TODAY()</f>
        <v>43234</v>
      </c>
      <c r="W4" s="0"/>
      <c r="X4" s="0"/>
      <c r="Y4" s="0"/>
    </row>
    <row r="5" customFormat="false" ht="31.5" hidden="false" customHeight="false" outlineLevel="0" collapsed="false">
      <c r="A5" s="93"/>
      <c r="B5" s="105"/>
      <c r="C5" s="95" t="s">
        <v>8</v>
      </c>
      <c r="D5" s="96" t="s">
        <v>118</v>
      </c>
      <c r="E5" s="97" t="s">
        <v>119</v>
      </c>
      <c r="F5" s="98" t="s">
        <v>8</v>
      </c>
      <c r="G5" s="96" t="s">
        <v>118</v>
      </c>
      <c r="H5" s="97" t="s">
        <v>119</v>
      </c>
      <c r="I5" s="103" t="s">
        <v>8</v>
      </c>
      <c r="J5" s="101" t="s">
        <v>118</v>
      </c>
      <c r="K5" s="94" t="s">
        <v>119</v>
      </c>
      <c r="L5" s="95" t="s">
        <v>8</v>
      </c>
      <c r="M5" s="101" t="s">
        <v>118</v>
      </c>
      <c r="N5" s="97" t="s">
        <v>119</v>
      </c>
      <c r="O5" s="98"/>
      <c r="P5" s="101"/>
      <c r="Q5" s="111" t="s">
        <v>120</v>
      </c>
      <c r="R5" s="103"/>
      <c r="S5" s="96"/>
      <c r="T5" s="101"/>
      <c r="U5" s="96"/>
      <c r="V5" s="0"/>
      <c r="W5" s="0"/>
      <c r="X5" s="0"/>
      <c r="Y5" s="0"/>
    </row>
    <row r="6" customFormat="false" ht="15.75" hidden="false" customHeight="false" outlineLevel="0" collapsed="false">
      <c r="A6" s="93" t="s">
        <v>121</v>
      </c>
      <c r="B6" s="105"/>
      <c r="C6" s="95" t="n">
        <v>43</v>
      </c>
      <c r="D6" s="96" t="n">
        <f aca="false">C6*12.56</f>
        <v>540.08</v>
      </c>
      <c r="E6" s="97"/>
      <c r="F6" s="112" t="n">
        <v>87</v>
      </c>
      <c r="G6" s="96" t="n">
        <f aca="false">F6*12.56</f>
        <v>1092.72</v>
      </c>
      <c r="H6" s="97"/>
      <c r="I6" s="103" t="n">
        <v>73</v>
      </c>
      <c r="J6" s="101" t="n">
        <f aca="false">11.45*I6</f>
        <v>835.85</v>
      </c>
      <c r="K6" s="94"/>
      <c r="L6" s="95"/>
      <c r="M6" s="101" t="n">
        <f aca="false">L6*12.56</f>
        <v>0</v>
      </c>
      <c r="N6" s="97"/>
      <c r="O6" s="98"/>
      <c r="P6" s="101"/>
      <c r="Q6" s="106" t="n">
        <f aca="false">D6+G6+J6+M6</f>
        <v>2468.65</v>
      </c>
      <c r="R6" s="107"/>
      <c r="S6" s="96"/>
      <c r="T6" s="101"/>
      <c r="U6" s="96"/>
      <c r="V6" s="0"/>
      <c r="W6" s="0"/>
      <c r="X6" s="0"/>
      <c r="Y6" s="0"/>
    </row>
    <row r="7" customFormat="false" ht="15.75" hidden="false" customHeight="false" outlineLevel="0" collapsed="false">
      <c r="A7" s="93" t="s">
        <v>122</v>
      </c>
      <c r="B7" s="105"/>
      <c r="C7" s="95"/>
      <c r="D7" s="96"/>
      <c r="E7" s="97"/>
      <c r="F7" s="112"/>
      <c r="G7" s="96"/>
      <c r="H7" s="97"/>
      <c r="I7" s="103"/>
      <c r="J7" s="101"/>
      <c r="K7" s="94"/>
      <c r="L7" s="95"/>
      <c r="M7" s="101"/>
      <c r="N7" s="97"/>
      <c r="O7" s="98"/>
      <c r="P7" s="101"/>
      <c r="Q7" s="106"/>
      <c r="R7" s="107"/>
      <c r="S7" s="96"/>
      <c r="T7" s="101"/>
      <c r="U7" s="96"/>
      <c r="V7" s="0"/>
      <c r="W7" s="0"/>
      <c r="X7" s="0"/>
      <c r="Y7" s="0"/>
    </row>
    <row r="8" customFormat="false" ht="15.75" hidden="false" customHeight="false" outlineLevel="0" collapsed="false">
      <c r="A8" s="93" t="s">
        <v>123</v>
      </c>
      <c r="B8" s="105"/>
      <c r="C8" s="95" t="n">
        <v>6</v>
      </c>
      <c r="D8" s="96" t="n">
        <f aca="false">C8*12.67</f>
        <v>76.02</v>
      </c>
      <c r="E8" s="97"/>
      <c r="F8" s="112"/>
      <c r="G8" s="96"/>
      <c r="H8" s="97"/>
      <c r="I8" s="103"/>
      <c r="J8" s="101"/>
      <c r="K8" s="94"/>
      <c r="L8" s="95"/>
      <c r="M8" s="101"/>
      <c r="N8" s="97"/>
      <c r="O8" s="98"/>
      <c r="P8" s="101"/>
      <c r="Q8" s="106" t="n">
        <f aca="false">D8+G8+J8+M8</f>
        <v>76.02</v>
      </c>
      <c r="R8" s="107"/>
      <c r="S8" s="96"/>
      <c r="T8" s="101"/>
      <c r="U8" s="96"/>
      <c r="V8" s="0"/>
      <c r="W8" s="0"/>
      <c r="X8" s="0"/>
      <c r="Y8" s="0"/>
    </row>
    <row r="9" customFormat="false" ht="15.75" hidden="false" customHeight="false" outlineLevel="0" collapsed="false">
      <c r="A9" s="93" t="s">
        <v>124</v>
      </c>
      <c r="B9" s="105" t="n">
        <f aca="false">(C9+F9)/7</f>
        <v>19.4285714285714</v>
      </c>
      <c r="C9" s="95" t="n">
        <f aca="false">SUM(C6:C8)</f>
        <v>49</v>
      </c>
      <c r="D9" s="96" t="n">
        <f aca="false">SUM(D6:D8)</f>
        <v>616.1</v>
      </c>
      <c r="E9" s="97"/>
      <c r="F9" s="112" t="n">
        <f aca="false">SUM(F6:F8)</f>
        <v>87</v>
      </c>
      <c r="G9" s="96" t="n">
        <f aca="false">SUM(G6:G8)</f>
        <v>1092.72</v>
      </c>
      <c r="H9" s="97"/>
      <c r="I9" s="103" t="n">
        <f aca="false">SUM(I6:I8)</f>
        <v>73</v>
      </c>
      <c r="J9" s="101" t="n">
        <f aca="false">SUM(J6:J8)</f>
        <v>835.85</v>
      </c>
      <c r="K9" s="94"/>
      <c r="L9" s="95" t="n">
        <f aca="false">SUM(L6:L8)</f>
        <v>0</v>
      </c>
      <c r="M9" s="101" t="n">
        <f aca="false">SUM(M6:M8)</f>
        <v>0</v>
      </c>
      <c r="N9" s="97"/>
      <c r="O9" s="113" t="n">
        <f aca="false">(D9+G9+J9+M9)*0.085</f>
        <v>216.29695</v>
      </c>
      <c r="P9" s="114" t="n">
        <f aca="false">(D9+E9+G9+H9+J9+K9+M9+N9)*0.05</f>
        <v>127.2335</v>
      </c>
      <c r="Q9" s="115" t="n">
        <f aca="false">SUM(Q6:Q8)</f>
        <v>2544.67</v>
      </c>
      <c r="R9" s="116" t="n">
        <f aca="false">SUM(O9:Q9)</f>
        <v>2888.20045</v>
      </c>
      <c r="S9" s="96" t="n">
        <f aca="false">Q9*T4</f>
        <v>2024.16931818182</v>
      </c>
      <c r="T9" s="101"/>
      <c r="U9" s="117" t="n">
        <f aca="false">Q4-R9</f>
        <v>1511.79955</v>
      </c>
      <c r="V9" s="0"/>
      <c r="W9" s="0"/>
      <c r="X9" s="0"/>
      <c r="Y9" s="0"/>
    </row>
    <row r="10" customFormat="false" ht="15.75" hidden="false" customHeight="false" outlineLevel="0" collapsed="false">
      <c r="A10" s="118" t="s">
        <v>125</v>
      </c>
      <c r="B10" s="105" t="n">
        <f aca="false">B4-B9</f>
        <v>24.5714285714286</v>
      </c>
      <c r="C10" s="119" t="n">
        <v>0.05</v>
      </c>
      <c r="D10" s="120" t="n">
        <f aca="false">D9*C10</f>
        <v>30.805</v>
      </c>
      <c r="E10" s="97"/>
      <c r="F10" s="119" t="n">
        <v>0.05</v>
      </c>
      <c r="G10" s="120" t="n">
        <f aca="false">G9*F10</f>
        <v>54.636</v>
      </c>
      <c r="H10" s="121" t="n">
        <f aca="false">D10+G10</f>
        <v>85.441</v>
      </c>
      <c r="I10" s="119" t="n">
        <v>0.05</v>
      </c>
      <c r="J10" s="120" t="n">
        <f aca="false">J9*I10</f>
        <v>41.7925</v>
      </c>
      <c r="K10" s="94"/>
      <c r="L10" s="95"/>
      <c r="M10" s="101" t="s">
        <v>126</v>
      </c>
      <c r="N10" s="97"/>
      <c r="O10" s="98"/>
      <c r="P10" s="101"/>
      <c r="Q10" s="106" t="n">
        <f aca="false">SUM(D9+G9+J9+M9)</f>
        <v>2544.67</v>
      </c>
      <c r="R10" s="107"/>
      <c r="S10" s="96"/>
      <c r="T10" s="101"/>
      <c r="U10" s="96"/>
      <c r="V10" s="0"/>
      <c r="W10" s="0"/>
      <c r="X10" s="0"/>
      <c r="Y10" s="0"/>
    </row>
    <row r="11" customFormat="false" ht="15.75" hidden="false" customHeight="false" outlineLevel="0" collapsed="false">
      <c r="A11" s="118"/>
      <c r="B11" s="105"/>
      <c r="C11" s="122" t="n">
        <v>0.085</v>
      </c>
      <c r="D11" s="120" t="n">
        <f aca="false">D9*C11</f>
        <v>52.3685</v>
      </c>
      <c r="E11" s="97"/>
      <c r="F11" s="122" t="n">
        <v>0.085</v>
      </c>
      <c r="G11" s="120" t="n">
        <f aca="false">G9*F11</f>
        <v>92.8812</v>
      </c>
      <c r="H11" s="121" t="n">
        <f aca="false">D11+G11</f>
        <v>145.2497</v>
      </c>
      <c r="I11" s="122" t="n">
        <v>0.085</v>
      </c>
      <c r="J11" s="120" t="n">
        <f aca="false">J9*I11</f>
        <v>71.04725</v>
      </c>
      <c r="K11" s="94"/>
      <c r="L11" s="95"/>
      <c r="M11" s="101"/>
      <c r="N11" s="97"/>
      <c r="O11" s="98"/>
      <c r="P11" s="101"/>
      <c r="Q11" s="106"/>
      <c r="R11" s="107"/>
      <c r="S11" s="96"/>
      <c r="T11" s="101"/>
      <c r="U11" s="96"/>
      <c r="V11" s="0"/>
      <c r="W11" s="0"/>
      <c r="X11" s="0"/>
      <c r="Y11" s="0"/>
    </row>
    <row r="12" customFormat="false" ht="15.75" hidden="false" customHeight="false" outlineLevel="0" collapsed="false">
      <c r="A12" s="80"/>
      <c r="B12" s="123"/>
      <c r="C12" s="124"/>
      <c r="D12" s="92"/>
      <c r="E12" s="125"/>
      <c r="F12" s="126"/>
      <c r="G12" s="92"/>
      <c r="H12" s="127"/>
      <c r="I12" s="128"/>
      <c r="J12" s="91"/>
      <c r="K12" s="129"/>
      <c r="L12" s="124"/>
      <c r="M12" s="91"/>
      <c r="N12" s="125"/>
      <c r="O12" s="126"/>
      <c r="P12" s="91"/>
      <c r="Q12" s="130"/>
      <c r="R12" s="131"/>
      <c r="S12" s="92"/>
      <c r="T12" s="132"/>
      <c r="U12" s="92"/>
      <c r="V12" s="0"/>
      <c r="W12" s="0"/>
      <c r="X12" s="0"/>
      <c r="Y12" s="0"/>
    </row>
    <row r="13" customFormat="false" ht="15.75" hidden="false" customHeight="false" outlineLevel="0" collapsed="false">
      <c r="A13" s="133" t="s">
        <v>127</v>
      </c>
      <c r="B13" s="134"/>
      <c r="C13" s="135"/>
      <c r="D13" s="136"/>
      <c r="E13" s="137"/>
      <c r="F13" s="138"/>
      <c r="G13" s="136"/>
      <c r="H13" s="139"/>
      <c r="I13" s="140"/>
      <c r="J13" s="141"/>
      <c r="K13" s="142"/>
      <c r="L13" s="135"/>
      <c r="M13" s="141"/>
      <c r="N13" s="137"/>
      <c r="O13" s="138"/>
      <c r="P13" s="141"/>
      <c r="Q13" s="143"/>
      <c r="R13" s="144"/>
      <c r="S13" s="136"/>
      <c r="T13" s="141"/>
      <c r="U13" s="136"/>
      <c r="V13" s="0"/>
      <c r="W13" s="0"/>
      <c r="X13" s="0"/>
      <c r="Y13" s="0"/>
    </row>
    <row r="14" customFormat="false" ht="15.75" hidden="false" customHeight="false" outlineLevel="0" collapsed="false">
      <c r="A14" s="133" t="s">
        <v>116</v>
      </c>
      <c r="B14" s="134" t="n">
        <f aca="false">Q14/100</f>
        <v>35</v>
      </c>
      <c r="C14" s="135" t="n">
        <v>875</v>
      </c>
      <c r="D14" s="136"/>
      <c r="E14" s="137"/>
      <c r="F14" s="138" t="n">
        <v>875</v>
      </c>
      <c r="G14" s="136"/>
      <c r="H14" s="139"/>
      <c r="I14" s="140" t="n">
        <v>875</v>
      </c>
      <c r="J14" s="141"/>
      <c r="K14" s="142"/>
      <c r="L14" s="135" t="n">
        <v>875</v>
      </c>
      <c r="M14" s="141"/>
      <c r="N14" s="137"/>
      <c r="O14" s="138"/>
      <c r="P14" s="141"/>
      <c r="Q14" s="143" t="n">
        <f aca="false">SUM(C14:N14)</f>
        <v>3500</v>
      </c>
      <c r="R14" s="144"/>
      <c r="S14" s="136" t="n">
        <v>3500</v>
      </c>
      <c r="T14" s="145" t="n">
        <v>1</v>
      </c>
      <c r="U14" s="136"/>
      <c r="V14" s="80" t="s">
        <v>128</v>
      </c>
      <c r="W14" s="80"/>
      <c r="X14" s="80"/>
      <c r="Y14" s="0"/>
    </row>
    <row r="15" customFormat="false" ht="15.75" hidden="false" customHeight="false" outlineLevel="0" collapsed="false">
      <c r="A15" s="133"/>
      <c r="B15" s="134"/>
      <c r="C15" s="135"/>
      <c r="D15" s="136"/>
      <c r="E15" s="137"/>
      <c r="F15" s="138"/>
      <c r="G15" s="136"/>
      <c r="H15" s="139"/>
      <c r="I15" s="0"/>
      <c r="J15" s="0"/>
      <c r="K15" s="142"/>
      <c r="L15" s="135"/>
      <c r="M15" s="141"/>
      <c r="N15" s="137"/>
      <c r="O15" s="138"/>
      <c r="P15" s="141"/>
      <c r="Q15" s="143"/>
      <c r="R15" s="140"/>
      <c r="S15" s="146"/>
      <c r="T15" s="141"/>
      <c r="U15" s="146"/>
      <c r="V15" s="80"/>
      <c r="W15" s="80" t="s">
        <v>129</v>
      </c>
      <c r="X15" s="91" t="s">
        <v>130</v>
      </c>
      <c r="Y15" s="0"/>
    </row>
    <row r="16" customFormat="false" ht="15.75" hidden="false" customHeight="false" outlineLevel="0" collapsed="false">
      <c r="A16" s="133" t="s">
        <v>19</v>
      </c>
      <c r="B16" s="134"/>
      <c r="C16" s="135" t="n">
        <v>21</v>
      </c>
      <c r="D16" s="136" t="n">
        <f aca="false">C16*12.56</f>
        <v>263.76</v>
      </c>
      <c r="E16" s="137"/>
      <c r="F16" s="147" t="n">
        <v>22</v>
      </c>
      <c r="G16" s="136" t="n">
        <f aca="false">F16*12.56</f>
        <v>276.32</v>
      </c>
      <c r="H16" s="139"/>
      <c r="I16" s="148" t="n">
        <v>16</v>
      </c>
      <c r="J16" s="136" t="n">
        <f aca="false">I16*J2</f>
        <v>183.2</v>
      </c>
      <c r="K16" s="142"/>
      <c r="L16" s="147" t="n">
        <v>66</v>
      </c>
      <c r="M16" s="136" t="n">
        <f aca="false">L16*J2</f>
        <v>755.7</v>
      </c>
      <c r="N16" s="137" t="n">
        <v>1175</v>
      </c>
      <c r="O16" s="138"/>
      <c r="P16" s="141"/>
      <c r="Q16" s="149" t="n">
        <f aca="false">+D16+G16+J16+M16+N16</f>
        <v>2653.98</v>
      </c>
      <c r="R16" s="140"/>
      <c r="S16" s="146"/>
      <c r="T16" s="141"/>
      <c r="U16" s="150"/>
      <c r="V16" s="80" t="s">
        <v>131</v>
      </c>
      <c r="W16" s="151" t="n">
        <f aca="false">C16+F16+I16+L16</f>
        <v>125</v>
      </c>
      <c r="X16" s="152" t="n">
        <f aca="false">D16+G16+J16+M16</f>
        <v>1478.98</v>
      </c>
      <c r="Y16" s="153"/>
    </row>
    <row r="17" customFormat="false" ht="15.75" hidden="false" customHeight="false" outlineLevel="0" collapsed="false">
      <c r="A17" s="133" t="s">
        <v>132</v>
      </c>
      <c r="B17" s="134"/>
      <c r="C17" s="135"/>
      <c r="D17" s="136" t="n">
        <f aca="false">C17*12.56</f>
        <v>0</v>
      </c>
      <c r="E17" s="137"/>
      <c r="F17" s="147"/>
      <c r="G17" s="136" t="n">
        <f aca="false">F17*12.56</f>
        <v>0</v>
      </c>
      <c r="H17" s="139"/>
      <c r="I17" s="148" t="n">
        <v>2</v>
      </c>
      <c r="J17" s="136" t="n">
        <f aca="false">I17*J2</f>
        <v>22.9</v>
      </c>
      <c r="K17" s="142"/>
      <c r="L17" s="147" t="n">
        <v>15.5</v>
      </c>
      <c r="M17" s="136" t="n">
        <f aca="false">L17*J2</f>
        <v>177.475</v>
      </c>
      <c r="N17" s="137"/>
      <c r="O17" s="138"/>
      <c r="P17" s="141"/>
      <c r="Q17" s="149" t="n">
        <f aca="false">+D17+G17+J17+M17</f>
        <v>200.375</v>
      </c>
      <c r="R17" s="140"/>
      <c r="S17" s="146"/>
      <c r="T17" s="141"/>
      <c r="U17" s="150"/>
      <c r="V17" s="80" t="s">
        <v>133</v>
      </c>
      <c r="W17" s="151" t="n">
        <f aca="false">C17+F17+I17+L17</f>
        <v>17.5</v>
      </c>
      <c r="X17" s="152" t="n">
        <f aca="false">D17+G17+J17+M17</f>
        <v>200.375</v>
      </c>
      <c r="Y17" s="153"/>
    </row>
    <row r="18" customFormat="false" ht="15.75" hidden="false" customHeight="false" outlineLevel="0" collapsed="false">
      <c r="A18" s="133" t="s">
        <v>21</v>
      </c>
      <c r="B18" s="134"/>
      <c r="C18" s="135"/>
      <c r="D18" s="136" t="n">
        <f aca="false">C18*12.56</f>
        <v>0</v>
      </c>
      <c r="E18" s="137"/>
      <c r="F18" s="147"/>
      <c r="G18" s="136" t="n">
        <f aca="false">F18*12.56</f>
        <v>0</v>
      </c>
      <c r="H18" s="139"/>
      <c r="I18" s="148"/>
      <c r="J18" s="136" t="n">
        <f aca="false">I18*J2</f>
        <v>0</v>
      </c>
      <c r="K18" s="142"/>
      <c r="L18" s="147" t="n">
        <v>23</v>
      </c>
      <c r="M18" s="136" t="n">
        <f aca="false">L18*J2</f>
        <v>263.35</v>
      </c>
      <c r="N18" s="137"/>
      <c r="O18" s="138"/>
      <c r="P18" s="141"/>
      <c r="Q18" s="149" t="n">
        <f aca="false">+D18+G18+J18+M18</f>
        <v>263.35</v>
      </c>
      <c r="R18" s="140"/>
      <c r="S18" s="146"/>
      <c r="T18" s="141"/>
      <c r="U18" s="150"/>
      <c r="V18" s="80" t="s">
        <v>134</v>
      </c>
      <c r="W18" s="151" t="n">
        <f aca="false">C18+F18+I18+L18</f>
        <v>23</v>
      </c>
      <c r="X18" s="152" t="n">
        <f aca="false">D18+G18+J18+M18</f>
        <v>263.35</v>
      </c>
      <c r="Y18" s="153"/>
    </row>
    <row r="19" customFormat="false" ht="15.75" hidden="false" customHeight="false" outlineLevel="0" collapsed="false">
      <c r="A19" s="133" t="s">
        <v>124</v>
      </c>
      <c r="B19" s="134" t="n">
        <f aca="false">(C19+F19+I19+L19)/7</f>
        <v>317.876428571429</v>
      </c>
      <c r="C19" s="135"/>
      <c r="D19" s="136" t="n">
        <f aca="false">SUM(D16:D18)</f>
        <v>263.76</v>
      </c>
      <c r="E19" s="137"/>
      <c r="F19" s="147" t="n">
        <f aca="false">SUM(F15:F16)</f>
        <v>22</v>
      </c>
      <c r="G19" s="136" t="n">
        <f aca="false">SUM(G16:G18)</f>
        <v>276.32</v>
      </c>
      <c r="H19" s="139"/>
      <c r="I19" s="148" t="n">
        <f aca="false">SUM(I2:I16)</f>
        <v>2137.135</v>
      </c>
      <c r="J19" s="136" t="n">
        <f aca="false">SUM(J16:J18)</f>
        <v>206.1</v>
      </c>
      <c r="K19" s="142"/>
      <c r="L19" s="147" t="n">
        <f aca="false">SUM(L15:L16)</f>
        <v>66</v>
      </c>
      <c r="M19" s="136" t="n">
        <f aca="false">SUM(M16:M18)</f>
        <v>1196.525</v>
      </c>
      <c r="N19" s="136" t="n">
        <f aca="false">SUM(N16:N18)</f>
        <v>1175</v>
      </c>
      <c r="O19" s="113" t="n">
        <f aca="false">(D19+G19+J19+M19)*0.085</f>
        <v>165.129925</v>
      </c>
      <c r="P19" s="114" t="n">
        <f aca="false">(D19+E19+G19+H19+J19+K19+M19+N19)*0.05</f>
        <v>155.88525</v>
      </c>
      <c r="Q19" s="115" t="n">
        <f aca="false">SUM(Q16:Q18)</f>
        <v>3117.705</v>
      </c>
      <c r="R19" s="116" t="n">
        <f aca="false">SUM(O19:Q19)</f>
        <v>3438.720175</v>
      </c>
      <c r="S19" s="136"/>
      <c r="T19" s="141"/>
      <c r="U19" s="154" t="n">
        <f aca="false">S14-R19</f>
        <v>61.2798250000001</v>
      </c>
      <c r="V19" s="80" t="s">
        <v>135</v>
      </c>
      <c r="W19" s="151" t="n">
        <f aca="false">SUM(W16:W18)</f>
        <v>165.5</v>
      </c>
      <c r="X19" s="152" t="n">
        <f aca="false">SUM(X16:X18)</f>
        <v>1942.705</v>
      </c>
      <c r="Y19" s="153"/>
    </row>
    <row r="20" customFormat="false" ht="27" hidden="false" customHeight="true" outlineLevel="0" collapsed="false">
      <c r="A20" s="133" t="s">
        <v>125</v>
      </c>
      <c r="B20" s="134" t="n">
        <f aca="false">B14-B19</f>
        <v>-282.876428571429</v>
      </c>
      <c r="C20" s="119" t="n">
        <v>0.05</v>
      </c>
      <c r="D20" s="120" t="n">
        <f aca="false">D19*C20</f>
        <v>13.188</v>
      </c>
      <c r="E20" s="137"/>
      <c r="F20" s="119" t="n">
        <v>0.05</v>
      </c>
      <c r="G20" s="120" t="n">
        <f aca="false">G19*F20</f>
        <v>13.816</v>
      </c>
      <c r="H20" s="121"/>
      <c r="I20" s="155" t="n">
        <v>0.05</v>
      </c>
      <c r="J20" s="120" t="n">
        <f aca="false">J19*I20</f>
        <v>10.305</v>
      </c>
      <c r="K20" s="156"/>
      <c r="L20" s="119" t="n">
        <v>0.05</v>
      </c>
      <c r="M20" s="120" t="n">
        <f aca="false">M19*L20</f>
        <v>59.82625</v>
      </c>
      <c r="N20" s="121"/>
      <c r="O20" s="138"/>
      <c r="P20" s="157"/>
      <c r="Q20" s="143"/>
      <c r="R20" s="144"/>
      <c r="S20" s="136"/>
      <c r="T20" s="141"/>
      <c r="U20" s="158"/>
      <c r="V20" s="80" t="s">
        <v>136</v>
      </c>
      <c r="W20" s="80"/>
      <c r="X20" s="152" t="n">
        <f aca="false">N16</f>
        <v>1175</v>
      </c>
    </row>
    <row r="21" customFormat="false" ht="27" hidden="false" customHeight="true" outlineLevel="0" collapsed="false">
      <c r="A21" s="133"/>
      <c r="B21" s="134"/>
      <c r="C21" s="122" t="n">
        <v>0.085</v>
      </c>
      <c r="D21" s="120" t="n">
        <f aca="false">D19*C21</f>
        <v>22.4196</v>
      </c>
      <c r="E21" s="137"/>
      <c r="F21" s="122" t="n">
        <v>0.085</v>
      </c>
      <c r="G21" s="120" t="n">
        <f aca="false">G19*F21</f>
        <v>23.4872</v>
      </c>
      <c r="H21" s="121"/>
      <c r="I21" s="159" t="n">
        <v>0.085</v>
      </c>
      <c r="J21" s="120" t="n">
        <f aca="false">J19*I21</f>
        <v>17.5185</v>
      </c>
      <c r="K21" s="156"/>
      <c r="L21" s="122" t="n">
        <v>0.085</v>
      </c>
      <c r="M21" s="120" t="n">
        <f aca="false">M19*L21</f>
        <v>101.704625</v>
      </c>
      <c r="N21" s="121"/>
      <c r="O21" s="138"/>
      <c r="P21" s="157"/>
      <c r="Q21" s="143"/>
      <c r="R21" s="144"/>
      <c r="S21" s="136"/>
      <c r="T21" s="141"/>
      <c r="U21" s="158"/>
      <c r="V21" s="91" t="s">
        <v>137</v>
      </c>
      <c r="W21" s="91"/>
      <c r="X21" s="152" t="n">
        <f aca="false">SUM(X19:X20)</f>
        <v>3117.705</v>
      </c>
    </row>
    <row r="22" customFormat="false" ht="15.75" hidden="false" customHeight="false" outlineLevel="0" collapsed="false">
      <c r="A22" s="80"/>
      <c r="B22" s="123"/>
      <c r="C22" s="160"/>
      <c r="D22" s="92"/>
      <c r="E22" s="125"/>
      <c r="F22" s="161"/>
      <c r="G22" s="162"/>
      <c r="H22" s="125"/>
      <c r="I22" s="128"/>
      <c r="J22" s="91"/>
      <c r="K22" s="129"/>
      <c r="L22" s="124"/>
      <c r="M22" s="91"/>
      <c r="N22" s="125"/>
      <c r="O22" s="126"/>
      <c r="P22" s="91"/>
      <c r="Q22" s="163"/>
      <c r="R22" s="128"/>
      <c r="S22" s="152"/>
      <c r="T22" s="91"/>
      <c r="U22" s="164"/>
      <c r="V22" s="91"/>
      <c r="W22" s="91"/>
      <c r="X22" s="91"/>
    </row>
    <row r="23" customFormat="false" ht="31.5" hidden="false" customHeight="false" outlineLevel="0" collapsed="false">
      <c r="A23" s="165" t="s">
        <v>138</v>
      </c>
      <c r="B23" s="166"/>
      <c r="C23" s="167"/>
      <c r="D23" s="168"/>
      <c r="E23" s="169"/>
      <c r="F23" s="170"/>
      <c r="G23" s="168"/>
      <c r="H23" s="169"/>
      <c r="I23" s="171"/>
      <c r="J23" s="172"/>
      <c r="K23" s="173"/>
      <c r="L23" s="167"/>
      <c r="M23" s="172"/>
      <c r="N23" s="169"/>
      <c r="O23" s="170"/>
      <c r="P23" s="172"/>
      <c r="Q23" s="174"/>
      <c r="R23" s="171"/>
      <c r="S23" s="175"/>
      <c r="T23" s="172"/>
      <c r="U23" s="176"/>
      <c r="V23" s="80" t="s">
        <v>139</v>
      </c>
      <c r="W23" s="80"/>
      <c r="X23" s="152" t="n">
        <f aca="false">X21*0.05</f>
        <v>155.88525</v>
      </c>
    </row>
    <row r="24" customFormat="false" ht="15.75" hidden="false" customHeight="false" outlineLevel="0" collapsed="false">
      <c r="A24" s="177" t="s">
        <v>116</v>
      </c>
      <c r="B24" s="166" t="n">
        <f aca="false">Q24/100</f>
        <v>104.5</v>
      </c>
      <c r="C24" s="167"/>
      <c r="D24" s="168" t="n">
        <v>2650</v>
      </c>
      <c r="E24" s="169"/>
      <c r="F24" s="170"/>
      <c r="G24" s="168" t="n">
        <v>2600</v>
      </c>
      <c r="H24" s="169"/>
      <c r="I24" s="171"/>
      <c r="J24" s="178" t="n">
        <v>2600</v>
      </c>
      <c r="K24" s="179"/>
      <c r="L24" s="180"/>
      <c r="M24" s="178" t="n">
        <v>2600</v>
      </c>
      <c r="N24" s="169"/>
      <c r="O24" s="170"/>
      <c r="P24" s="172"/>
      <c r="Q24" s="181" t="n">
        <f aca="false">SUM(C24:N24)</f>
        <v>10450</v>
      </c>
      <c r="R24" s="182"/>
      <c r="S24" s="168" t="n">
        <f aca="false">Q24*T24</f>
        <v>5001.37</v>
      </c>
      <c r="T24" s="183" t="n">
        <v>0.4786</v>
      </c>
      <c r="U24" s="168"/>
      <c r="V24" s="80" t="s">
        <v>140</v>
      </c>
      <c r="W24" s="80"/>
      <c r="X24" s="152" t="n">
        <f aca="false">X19*0.085</f>
        <v>165.129925</v>
      </c>
    </row>
    <row r="25" customFormat="false" ht="15.75" hidden="false" customHeight="false" outlineLevel="0" collapsed="false">
      <c r="A25" s="177"/>
      <c r="B25" s="166"/>
      <c r="C25" s="167"/>
      <c r="D25" s="168"/>
      <c r="E25" s="169"/>
      <c r="F25" s="170"/>
      <c r="G25" s="168"/>
      <c r="H25" s="169"/>
      <c r="I25" s="171"/>
      <c r="J25" s="172"/>
      <c r="K25" s="173"/>
      <c r="L25" s="167"/>
      <c r="M25" s="172"/>
      <c r="N25" s="169"/>
      <c r="O25" s="170"/>
      <c r="P25" s="172"/>
      <c r="Q25" s="174"/>
      <c r="R25" s="171"/>
      <c r="S25" s="175"/>
      <c r="T25" s="172"/>
      <c r="U25" s="168"/>
      <c r="V25" s="80" t="s">
        <v>141</v>
      </c>
      <c r="W25" s="80"/>
      <c r="X25" s="152" t="n">
        <f aca="false">SUM(X21:X24)</f>
        <v>3438.720175</v>
      </c>
    </row>
    <row r="26" customFormat="false" ht="15.75" hidden="false" customHeight="false" outlineLevel="0" collapsed="false">
      <c r="A26" s="177" t="s">
        <v>142</v>
      </c>
      <c r="B26" s="166"/>
      <c r="C26" s="167" t="n">
        <v>299</v>
      </c>
      <c r="D26" s="168" t="n">
        <f aca="false">C26*12.56</f>
        <v>3755.44</v>
      </c>
      <c r="E26" s="169"/>
      <c r="F26" s="184" t="n">
        <v>222</v>
      </c>
      <c r="G26" s="168" t="n">
        <f aca="false">F26*12.56</f>
        <v>2788.32</v>
      </c>
      <c r="H26" s="169"/>
      <c r="I26" s="99" t="n">
        <v>104</v>
      </c>
      <c r="J26" s="117" t="n">
        <f aca="false">I26*11.45</f>
        <v>1190.8</v>
      </c>
      <c r="K26" s="173"/>
      <c r="L26" s="167"/>
      <c r="M26" s="172"/>
      <c r="N26" s="169"/>
      <c r="O26" s="170"/>
      <c r="P26" s="172"/>
      <c r="Q26" s="181" t="n">
        <f aca="false">D26+G26++J26+M26</f>
        <v>7734.56</v>
      </c>
      <c r="R26" s="182"/>
      <c r="S26" s="168"/>
      <c r="T26" s="172"/>
      <c r="U26" s="168"/>
    </row>
    <row r="27" customFormat="false" ht="15.75" hidden="false" customHeight="false" outlineLevel="0" collapsed="false">
      <c r="A27" s="177" t="s">
        <v>143</v>
      </c>
      <c r="B27" s="166"/>
      <c r="C27" s="167" t="n">
        <v>44</v>
      </c>
      <c r="D27" s="168" t="n">
        <f aca="false">C27*12.67</f>
        <v>557.48</v>
      </c>
      <c r="E27" s="169"/>
      <c r="F27" s="184" t="n">
        <v>62</v>
      </c>
      <c r="G27" s="168" t="n">
        <f aca="false">F27*12.67</f>
        <v>785.54</v>
      </c>
      <c r="H27" s="169"/>
      <c r="I27" s="171" t="n">
        <f aca="false">SUM(I23:I24)</f>
        <v>0</v>
      </c>
      <c r="J27" s="172"/>
      <c r="K27" s="173"/>
      <c r="L27" s="167" t="n">
        <f aca="false">SUM(L23:L24)</f>
        <v>0</v>
      </c>
      <c r="M27" s="172"/>
      <c r="N27" s="169"/>
      <c r="O27" s="170"/>
      <c r="P27" s="172"/>
      <c r="Q27" s="181" t="n">
        <f aca="false">D27+G27+J25+M25</f>
        <v>1343.02</v>
      </c>
      <c r="R27" s="182"/>
      <c r="S27" s="168"/>
      <c r="T27" s="172"/>
      <c r="U27" s="168"/>
    </row>
    <row r="28" customFormat="false" ht="15.75" hidden="false" customHeight="false" outlineLevel="0" collapsed="false">
      <c r="A28" s="177" t="s">
        <v>144</v>
      </c>
      <c r="B28" s="166"/>
      <c r="C28" s="167" t="n">
        <v>6</v>
      </c>
      <c r="D28" s="168" t="n">
        <f aca="false">C28*12.56</f>
        <v>75.36</v>
      </c>
      <c r="E28" s="169"/>
      <c r="F28" s="184"/>
      <c r="G28" s="168" t="n">
        <f aca="false">F28*12.56</f>
        <v>0</v>
      </c>
      <c r="H28" s="169"/>
      <c r="I28" s="171"/>
      <c r="J28" s="172"/>
      <c r="K28" s="173"/>
      <c r="L28" s="167"/>
      <c r="M28" s="172"/>
      <c r="N28" s="169"/>
      <c r="O28" s="170"/>
      <c r="P28" s="172"/>
      <c r="Q28" s="181" t="n">
        <f aca="false">D28+G28+J26+M26</f>
        <v>1266.16</v>
      </c>
      <c r="R28" s="182"/>
      <c r="S28" s="168"/>
      <c r="T28" s="172"/>
      <c r="U28" s="168"/>
    </row>
    <row r="29" customFormat="false" ht="15.75" hidden="false" customHeight="false" outlineLevel="0" collapsed="false">
      <c r="A29" s="177" t="s">
        <v>124</v>
      </c>
      <c r="B29" s="166" t="n">
        <f aca="false">(C29+F29)/7</f>
        <v>90.4285714285714</v>
      </c>
      <c r="C29" s="167" t="n">
        <f aca="false">SUM(C26:C28)</f>
        <v>349</v>
      </c>
      <c r="D29" s="172" t="n">
        <f aca="false">SUM(D26:D28)</f>
        <v>4388.28</v>
      </c>
      <c r="E29" s="169" t="n">
        <f aca="false">SUM(E26:E28)</f>
        <v>0</v>
      </c>
      <c r="F29" s="184" t="n">
        <f aca="false">SUM(F26:F28)</f>
        <v>284</v>
      </c>
      <c r="G29" s="172" t="n">
        <f aca="false">SUM(G26:G28)</f>
        <v>3573.86</v>
      </c>
      <c r="H29" s="169"/>
      <c r="I29" s="171"/>
      <c r="J29" s="172"/>
      <c r="K29" s="173"/>
      <c r="L29" s="167"/>
      <c r="M29" s="172"/>
      <c r="N29" s="169"/>
      <c r="O29" s="170" t="n">
        <f aca="false">(D29+G29+J29+M29)*0.085</f>
        <v>676.7819</v>
      </c>
      <c r="P29" s="175" t="n">
        <f aca="false">(D29+E29+G29+H27+J27+K27+M27+N27)*0.05</f>
        <v>398.107</v>
      </c>
      <c r="Q29" s="181" t="n">
        <f aca="false">SUM(Q26:Q28)</f>
        <v>10343.74</v>
      </c>
      <c r="R29" s="116" t="n">
        <f aca="false">SUM(O29:Q29)</f>
        <v>11418.6289</v>
      </c>
      <c r="S29" s="168" t="n">
        <f aca="false">Q29*T24</f>
        <v>4950.513964</v>
      </c>
      <c r="T29" s="172"/>
      <c r="U29" s="117" t="n">
        <f aca="false">Q24-R29</f>
        <v>-968.6289</v>
      </c>
    </row>
    <row r="30" customFormat="false" ht="15.75" hidden="false" customHeight="false" outlineLevel="0" collapsed="false">
      <c r="A30" s="177" t="s">
        <v>125</v>
      </c>
      <c r="B30" s="166" t="n">
        <f aca="false">B24-B29</f>
        <v>14.0714285714286</v>
      </c>
      <c r="C30" s="167"/>
      <c r="D30" s="168"/>
      <c r="E30" s="169"/>
      <c r="F30" s="170"/>
      <c r="G30" s="168"/>
      <c r="H30" s="169"/>
      <c r="I30" s="171"/>
      <c r="J30" s="172"/>
      <c r="K30" s="173"/>
      <c r="L30" s="167"/>
      <c r="M30" s="172"/>
      <c r="N30" s="169"/>
      <c r="O30" s="170"/>
      <c r="P30" s="175"/>
      <c r="Q30" s="181"/>
      <c r="R30" s="185"/>
      <c r="S30" s="168"/>
      <c r="T30" s="168"/>
      <c r="U30" s="168"/>
    </row>
    <row r="31" customFormat="false" ht="15.75" hidden="false" customHeight="false" outlineLevel="0" collapsed="false">
      <c r="A31" s="80"/>
      <c r="B31" s="123"/>
      <c r="C31" s="124"/>
      <c r="D31" s="92"/>
      <c r="E31" s="125"/>
      <c r="F31" s="126"/>
      <c r="G31" s="92"/>
      <c r="H31" s="125"/>
      <c r="I31" s="128"/>
      <c r="J31" s="91"/>
      <c r="K31" s="129"/>
      <c r="L31" s="124"/>
      <c r="M31" s="91"/>
      <c r="N31" s="125"/>
      <c r="O31" s="126"/>
      <c r="P31" s="91"/>
      <c r="Q31" s="163"/>
      <c r="R31" s="128"/>
      <c r="S31" s="152"/>
      <c r="T31" s="91"/>
      <c r="U31" s="92"/>
    </row>
    <row r="32" customFormat="false" ht="15.75" hidden="false" customHeight="false" outlineLevel="0" collapsed="false">
      <c r="A32" s="186" t="s">
        <v>145</v>
      </c>
      <c r="B32" s="187" t="n">
        <f aca="false">Q32/130</f>
        <v>321.538461538462</v>
      </c>
      <c r="C32" s="188" t="n">
        <v>10450</v>
      </c>
      <c r="D32" s="189"/>
      <c r="E32" s="190"/>
      <c r="F32" s="191" t="n">
        <v>10450</v>
      </c>
      <c r="G32" s="189"/>
      <c r="H32" s="190"/>
      <c r="I32" s="192" t="n">
        <v>10450</v>
      </c>
      <c r="J32" s="193"/>
      <c r="K32" s="194"/>
      <c r="L32" s="188" t="n">
        <v>10450</v>
      </c>
      <c r="M32" s="193"/>
      <c r="N32" s="190"/>
      <c r="O32" s="191"/>
      <c r="P32" s="193"/>
      <c r="Q32" s="195" t="n">
        <f aca="false">SUM(C32:N32)</f>
        <v>41800</v>
      </c>
      <c r="R32" s="196"/>
      <c r="S32" s="189" t="n">
        <f aca="false">Q32*T32</f>
        <v>20005.48</v>
      </c>
      <c r="T32" s="197" t="n">
        <v>0.4786</v>
      </c>
      <c r="U32" s="189"/>
    </row>
    <row r="33" customFormat="false" ht="15.75" hidden="false" customHeight="false" outlineLevel="0" collapsed="false">
      <c r="A33" s="186"/>
      <c r="B33" s="187"/>
      <c r="C33" s="188"/>
      <c r="D33" s="189"/>
      <c r="E33" s="190"/>
      <c r="F33" s="191"/>
      <c r="G33" s="189"/>
      <c r="H33" s="190"/>
      <c r="I33" s="192"/>
      <c r="J33" s="193"/>
      <c r="K33" s="194"/>
      <c r="L33" s="188"/>
      <c r="M33" s="193"/>
      <c r="N33" s="190"/>
      <c r="O33" s="191"/>
      <c r="P33" s="193"/>
      <c r="Q33" s="195"/>
      <c r="R33" s="196"/>
      <c r="S33" s="189"/>
      <c r="T33" s="193"/>
      <c r="U33" s="189"/>
    </row>
    <row r="34" customFormat="false" ht="15.75" hidden="false" customHeight="false" outlineLevel="0" collapsed="false">
      <c r="A34" s="186" t="s">
        <v>146</v>
      </c>
      <c r="B34" s="187"/>
      <c r="C34" s="188" t="n">
        <v>68</v>
      </c>
      <c r="D34" s="189" t="n">
        <f aca="false">C34*16.28</f>
        <v>1107.04</v>
      </c>
      <c r="E34" s="190"/>
      <c r="F34" s="188" t="n">
        <v>113</v>
      </c>
      <c r="G34" s="189" t="n">
        <f aca="false">F34*16.28</f>
        <v>1839.64</v>
      </c>
      <c r="H34" s="190"/>
      <c r="I34" s="99" t="n">
        <v>80</v>
      </c>
      <c r="J34" s="100" t="n">
        <f aca="false">I34*14.84</f>
        <v>1187.2</v>
      </c>
      <c r="K34" s="194"/>
      <c r="L34" s="188"/>
      <c r="M34" s="193"/>
      <c r="N34" s="190"/>
      <c r="O34" s="191"/>
      <c r="P34" s="193"/>
      <c r="Q34" s="195" t="n">
        <f aca="false">D34+G34+J34+M34</f>
        <v>4133.88</v>
      </c>
      <c r="R34" s="196"/>
      <c r="S34" s="189"/>
      <c r="T34" s="193"/>
      <c r="U34" s="189"/>
    </row>
    <row r="35" customFormat="false" ht="15.75" hidden="false" customHeight="false" outlineLevel="0" collapsed="false">
      <c r="A35" s="186" t="s">
        <v>142</v>
      </c>
      <c r="B35" s="187"/>
      <c r="C35" s="188"/>
      <c r="D35" s="189"/>
      <c r="E35" s="190"/>
      <c r="F35" s="188"/>
      <c r="G35" s="189"/>
      <c r="H35" s="190"/>
      <c r="I35" s="99" t="n">
        <f aca="false">170-I26</f>
        <v>66</v>
      </c>
      <c r="J35" s="100" t="n">
        <f aca="false">11.45*I35</f>
        <v>755.7</v>
      </c>
      <c r="K35" s="194"/>
      <c r="L35" s="188"/>
      <c r="M35" s="193"/>
      <c r="N35" s="190"/>
      <c r="O35" s="191"/>
      <c r="P35" s="193"/>
      <c r="Q35" s="195" t="n">
        <f aca="false">D35+G35+J35+M35</f>
        <v>755.7</v>
      </c>
      <c r="R35" s="196"/>
      <c r="S35" s="189"/>
      <c r="T35" s="193"/>
      <c r="U35" s="189"/>
    </row>
    <row r="36" customFormat="false" ht="15.75" hidden="false" customHeight="false" outlineLevel="0" collapsed="false">
      <c r="A36" s="186" t="s">
        <v>105</v>
      </c>
      <c r="B36" s="187"/>
      <c r="C36" s="188"/>
      <c r="D36" s="189"/>
      <c r="E36" s="190"/>
      <c r="F36" s="188"/>
      <c r="G36" s="189"/>
      <c r="H36" s="190"/>
      <c r="I36" s="192"/>
      <c r="J36" s="193"/>
      <c r="K36" s="194"/>
      <c r="L36" s="188"/>
      <c r="M36" s="193"/>
      <c r="N36" s="190"/>
      <c r="O36" s="191"/>
      <c r="P36" s="193"/>
      <c r="Q36" s="195" t="n">
        <f aca="false">D36+G36+J36+M36</f>
        <v>0</v>
      </c>
      <c r="R36" s="196"/>
      <c r="S36" s="189"/>
      <c r="T36" s="193"/>
      <c r="U36" s="189"/>
    </row>
    <row r="37" customFormat="false" ht="15.75" hidden="false" customHeight="false" outlineLevel="0" collapsed="false">
      <c r="A37" s="186" t="s">
        <v>119</v>
      </c>
      <c r="B37" s="187"/>
      <c r="C37" s="188" t="n">
        <f aca="false">SUM(C33:C34)</f>
        <v>68</v>
      </c>
      <c r="D37" s="189" t="n">
        <f aca="false">SUM(D33:D34)</f>
        <v>1107.04</v>
      </c>
      <c r="E37" s="190"/>
      <c r="F37" s="188" t="n">
        <f aca="false">SUM(F33:F34)</f>
        <v>113</v>
      </c>
      <c r="G37" s="189" t="n">
        <f aca="false">SUM(G33:G34)</f>
        <v>1839.64</v>
      </c>
      <c r="H37" s="190"/>
      <c r="I37" s="192" t="n">
        <f aca="false">SUM(I33:I34)</f>
        <v>80</v>
      </c>
      <c r="J37" s="193" t="n">
        <f aca="false">SUM(J33:J34)</f>
        <v>1187.2</v>
      </c>
      <c r="K37" s="194" t="n">
        <v>769</v>
      </c>
      <c r="L37" s="188" t="n">
        <f aca="false">SUM(L33:L34)</f>
        <v>0</v>
      </c>
      <c r="M37" s="193" t="n">
        <f aca="false">SUM(M33:M34)</f>
        <v>0</v>
      </c>
      <c r="N37" s="190"/>
      <c r="O37" s="113" t="n">
        <f aca="false">(D37+G37+J37+M37)*0.085</f>
        <v>351.3798</v>
      </c>
      <c r="P37" s="114" t="n">
        <f aca="false">(D37+E37+G37+H37+J37+K37+M37+N37)*0.05</f>
        <v>245.144</v>
      </c>
      <c r="Q37" s="115" t="n">
        <f aca="false">SUM(Q33:Q34)</f>
        <v>4133.88</v>
      </c>
      <c r="R37" s="116" t="n">
        <f aca="false">SUM(O37:Q37)</f>
        <v>4730.4038</v>
      </c>
      <c r="S37" s="189" t="n">
        <f aca="false">Q37*T32</f>
        <v>1978.474968</v>
      </c>
      <c r="T37" s="193"/>
      <c r="U37" s="117" t="n">
        <f aca="false">Q32-R37</f>
        <v>37069.5962</v>
      </c>
    </row>
    <row r="38" customFormat="false" ht="15.75" hidden="false" customHeight="false" outlineLevel="0" collapsed="false">
      <c r="A38" s="80"/>
      <c r="B38" s="123"/>
      <c r="C38" s="124"/>
      <c r="D38" s="92"/>
      <c r="E38" s="125"/>
      <c r="F38" s="126"/>
      <c r="G38" s="92"/>
      <c r="H38" s="125"/>
      <c r="I38" s="128"/>
      <c r="J38" s="91"/>
      <c r="K38" s="129"/>
      <c r="L38" s="124"/>
      <c r="M38" s="91"/>
      <c r="N38" s="125"/>
      <c r="O38" s="126"/>
      <c r="P38" s="152"/>
      <c r="Q38" s="130"/>
      <c r="R38" s="131"/>
      <c r="S38" s="92"/>
      <c r="T38" s="91"/>
      <c r="U38" s="92"/>
    </row>
    <row r="39" customFormat="false" ht="15.75" hidden="false" customHeight="false" outlineLevel="0" collapsed="false">
      <c r="A39" s="198" t="s">
        <v>147</v>
      </c>
      <c r="B39" s="199"/>
      <c r="C39" s="200"/>
      <c r="D39" s="117" t="n">
        <f aca="false">D29+D37</f>
        <v>5495.32</v>
      </c>
      <c r="E39" s="201" t="n">
        <f aca="false">E29+E37</f>
        <v>0</v>
      </c>
      <c r="F39" s="202" t="n">
        <f aca="false">F29+F37</f>
        <v>397</v>
      </c>
      <c r="G39" s="117" t="n">
        <f aca="false">G29+G37</f>
        <v>5413.5</v>
      </c>
      <c r="H39" s="201" t="n">
        <f aca="false">H27+H37</f>
        <v>0</v>
      </c>
      <c r="I39" s="116" t="n">
        <f aca="false">I27+I37</f>
        <v>80</v>
      </c>
      <c r="J39" s="203" t="n">
        <f aca="false">J27+J37</f>
        <v>1187.2</v>
      </c>
      <c r="K39" s="204" t="n">
        <f aca="false">K27+K37</f>
        <v>769</v>
      </c>
      <c r="L39" s="205" t="n">
        <f aca="false">L27+L37</f>
        <v>0</v>
      </c>
      <c r="M39" s="203" t="n">
        <f aca="false">M27+M37</f>
        <v>0</v>
      </c>
      <c r="N39" s="201" t="n">
        <f aca="false">N27+N37</f>
        <v>0</v>
      </c>
      <c r="O39" s="202" t="n">
        <f aca="false">O29+O37</f>
        <v>1028.1617</v>
      </c>
      <c r="P39" s="117" t="n">
        <f aca="false">P29+P37</f>
        <v>643.251</v>
      </c>
      <c r="Q39" s="115" t="n">
        <f aca="false">Q29+Q37</f>
        <v>14477.62</v>
      </c>
      <c r="R39" s="116" t="n">
        <f aca="false">R29+R37</f>
        <v>16149.0327</v>
      </c>
      <c r="S39" s="117" t="n">
        <f aca="false">S29+S37</f>
        <v>6928.988932</v>
      </c>
      <c r="T39" s="203" t="n">
        <f aca="false">T29+T37</f>
        <v>0</v>
      </c>
      <c r="U39" s="117" t="n">
        <f aca="false">U29+U37</f>
        <v>36100.9673</v>
      </c>
    </row>
    <row r="40" customFormat="false" ht="15.75" hidden="false" customHeight="false" outlineLevel="0" collapsed="false">
      <c r="A40" s="80"/>
      <c r="B40" s="123"/>
      <c r="C40" s="124"/>
      <c r="D40" s="92"/>
      <c r="E40" s="125"/>
      <c r="F40" s="126"/>
      <c r="G40" s="92"/>
      <c r="H40" s="125"/>
      <c r="I40" s="128"/>
      <c r="J40" s="91"/>
      <c r="K40" s="129"/>
      <c r="L40" s="124"/>
      <c r="M40" s="91"/>
      <c r="N40" s="125"/>
      <c r="O40" s="126"/>
      <c r="P40" s="91"/>
      <c r="Q40" s="130"/>
      <c r="R40" s="131"/>
      <c r="S40" s="92"/>
      <c r="T40" s="91"/>
      <c r="U40" s="92"/>
    </row>
    <row r="41" customFormat="false" ht="15.75" hidden="false" customHeight="false" outlineLevel="0" collapsed="false">
      <c r="A41" s="206" t="s">
        <v>148</v>
      </c>
      <c r="B41" s="207"/>
      <c r="C41" s="208" t="n">
        <v>250</v>
      </c>
      <c r="D41" s="209"/>
      <c r="E41" s="210"/>
      <c r="F41" s="211" t="n">
        <v>250</v>
      </c>
      <c r="G41" s="209"/>
      <c r="H41" s="210"/>
      <c r="I41" s="212" t="n">
        <v>250</v>
      </c>
      <c r="J41" s="213"/>
      <c r="K41" s="214"/>
      <c r="L41" s="208" t="n">
        <v>250</v>
      </c>
      <c r="M41" s="213"/>
      <c r="N41" s="210"/>
      <c r="O41" s="211" t="n">
        <f aca="false">(D41+G41+J41+M41)*0.085</f>
        <v>0</v>
      </c>
      <c r="P41" s="215" t="n">
        <f aca="false">(D41+E41+G41+H41+J41+K41+M41+N41)*0.05</f>
        <v>0</v>
      </c>
      <c r="Q41" s="216" t="n">
        <f aca="false">SUM(C39:M39)</f>
        <v>13342.02</v>
      </c>
      <c r="R41" s="217"/>
      <c r="S41" s="209" t="n">
        <v>1000</v>
      </c>
      <c r="T41" s="218" t="n">
        <v>1</v>
      </c>
      <c r="U41" s="209"/>
    </row>
    <row r="42" customFormat="false" ht="15.75" hidden="false" customHeight="false" outlineLevel="0" collapsed="false">
      <c r="A42" s="206" t="s">
        <v>142</v>
      </c>
      <c r="B42" s="207"/>
      <c r="C42" s="208" t="n">
        <v>18</v>
      </c>
      <c r="D42" s="209" t="n">
        <f aca="false">C42*12.56</f>
        <v>226.08</v>
      </c>
      <c r="E42" s="210"/>
      <c r="F42" s="219" t="n">
        <v>12</v>
      </c>
      <c r="G42" s="209" t="n">
        <f aca="false">F42*12.56</f>
        <v>150.72</v>
      </c>
      <c r="H42" s="210"/>
      <c r="I42" s="212"/>
      <c r="J42" s="213"/>
      <c r="K42" s="214"/>
      <c r="L42" s="208"/>
      <c r="M42" s="213"/>
      <c r="N42" s="210"/>
      <c r="O42" s="211"/>
      <c r="P42" s="215"/>
      <c r="Q42" s="216"/>
      <c r="R42" s="217"/>
      <c r="S42" s="209"/>
      <c r="T42" s="218"/>
      <c r="U42" s="209"/>
    </row>
    <row r="43" customFormat="false" ht="15.75" hidden="false" customHeight="false" outlineLevel="0" collapsed="false">
      <c r="A43" s="80"/>
      <c r="B43" s="123"/>
      <c r="C43" s="124"/>
      <c r="D43" s="92"/>
      <c r="E43" s="125"/>
      <c r="F43" s="126"/>
      <c r="G43" s="92"/>
      <c r="H43" s="125"/>
      <c r="I43" s="128"/>
      <c r="J43" s="91"/>
      <c r="K43" s="129"/>
      <c r="L43" s="124"/>
      <c r="M43" s="91"/>
      <c r="N43" s="125"/>
      <c r="O43" s="126"/>
      <c r="P43" s="91"/>
      <c r="Q43" s="163"/>
      <c r="R43" s="128"/>
      <c r="S43" s="152"/>
      <c r="T43" s="91"/>
      <c r="U43" s="92"/>
    </row>
    <row r="44" customFormat="false" ht="15.75" hidden="false" customHeight="false" outlineLevel="0" collapsed="false">
      <c r="A44" s="80"/>
      <c r="B44" s="123"/>
      <c r="C44" s="124"/>
      <c r="D44" s="92"/>
      <c r="E44" s="125"/>
      <c r="F44" s="126"/>
      <c r="G44" s="92"/>
      <c r="H44" s="125"/>
      <c r="I44" s="128"/>
      <c r="J44" s="91"/>
      <c r="K44" s="129"/>
      <c r="L44" s="124"/>
      <c r="M44" s="91"/>
      <c r="N44" s="125"/>
      <c r="O44" s="126"/>
      <c r="P44" s="91"/>
      <c r="Q44" s="163"/>
      <c r="R44" s="128"/>
      <c r="S44" s="152"/>
      <c r="T44" s="91"/>
      <c r="U44" s="92"/>
    </row>
    <row r="45" customFormat="false" ht="15.75" hidden="false" customHeight="false" outlineLevel="0" collapsed="false">
      <c r="A45" s="220" t="s">
        <v>149</v>
      </c>
      <c r="B45" s="221"/>
      <c r="C45" s="222" t="n">
        <v>18250</v>
      </c>
      <c r="D45" s="223"/>
      <c r="E45" s="224"/>
      <c r="F45" s="225" t="n">
        <v>18250</v>
      </c>
      <c r="G45" s="223"/>
      <c r="H45" s="224"/>
      <c r="I45" s="226" t="n">
        <v>18250</v>
      </c>
      <c r="J45" s="227"/>
      <c r="K45" s="228"/>
      <c r="L45" s="222" t="n">
        <v>18420</v>
      </c>
      <c r="M45" s="227"/>
      <c r="N45" s="224"/>
      <c r="O45" s="225"/>
      <c r="P45" s="227"/>
      <c r="Q45" s="229" t="n">
        <f aca="false">SUM(C45:P45)</f>
        <v>73170</v>
      </c>
      <c r="R45" s="230"/>
      <c r="S45" s="223" t="n">
        <f aca="false">Q45*T45</f>
        <v>35019.162</v>
      </c>
      <c r="T45" s="231" t="n">
        <v>0.4786</v>
      </c>
      <c r="U45" s="223"/>
    </row>
    <row r="46" customFormat="false" ht="15.75" hidden="false" customHeight="false" outlineLevel="0" collapsed="false">
      <c r="A46" s="220"/>
      <c r="B46" s="221"/>
      <c r="C46" s="222"/>
      <c r="D46" s="223"/>
      <c r="E46" s="224"/>
      <c r="F46" s="225"/>
      <c r="G46" s="223"/>
      <c r="H46" s="224"/>
      <c r="I46" s="226"/>
      <c r="J46" s="227"/>
      <c r="K46" s="228"/>
      <c r="L46" s="222"/>
      <c r="M46" s="227"/>
      <c r="N46" s="224"/>
      <c r="O46" s="225"/>
      <c r="P46" s="227"/>
      <c r="Q46" s="229"/>
      <c r="R46" s="230"/>
      <c r="S46" s="223"/>
      <c r="T46" s="227"/>
      <c r="U46" s="223"/>
    </row>
    <row r="47" customFormat="false" ht="15.75" hidden="false" customHeight="false" outlineLevel="0" collapsed="false">
      <c r="A47" s="220" t="s">
        <v>146</v>
      </c>
      <c r="B47" s="221"/>
      <c r="C47" s="222" t="n">
        <v>141</v>
      </c>
      <c r="D47" s="223" t="n">
        <f aca="false">C47*16.28</f>
        <v>2295.48</v>
      </c>
      <c r="E47" s="229" t="n">
        <v>3273</v>
      </c>
      <c r="F47" s="232" t="n">
        <v>67</v>
      </c>
      <c r="G47" s="223" t="n">
        <f aca="false">F47*16.28</f>
        <v>1090.76</v>
      </c>
      <c r="H47" s="224" t="n">
        <f aca="false">965.95+1539.29+6311.8+2703.6+308+1200+1000+793.44+647+297.4</f>
        <v>15766.48</v>
      </c>
      <c r="I47" s="226" t="n">
        <v>60.5</v>
      </c>
      <c r="J47" s="227" t="n">
        <f aca="false">I47*14.84</f>
        <v>897.82</v>
      </c>
      <c r="K47" s="228" t="n">
        <v>1029.6</v>
      </c>
      <c r="L47" s="222"/>
      <c r="M47" s="227"/>
      <c r="N47" s="224"/>
      <c r="O47" s="225"/>
      <c r="P47" s="227"/>
      <c r="Q47" s="229" t="n">
        <f aca="false">D47+E47+G47+H47+J47+K47+M47+N47</f>
        <v>24353.14</v>
      </c>
      <c r="R47" s="230"/>
      <c r="S47" s="223"/>
      <c r="T47" s="227"/>
      <c r="U47" s="223"/>
    </row>
    <row r="48" customFormat="false" ht="15.75" hidden="false" customHeight="false" outlineLevel="0" collapsed="false">
      <c r="A48" s="220" t="s">
        <v>143</v>
      </c>
      <c r="B48" s="221"/>
      <c r="C48" s="222" t="n">
        <v>45</v>
      </c>
      <c r="D48" s="223" t="n">
        <f aca="false">C48*12.67</f>
        <v>570.15</v>
      </c>
      <c r="E48" s="229"/>
      <c r="F48" s="232" t="n">
        <v>45</v>
      </c>
      <c r="G48" s="223" t="n">
        <f aca="false">F48*12.67</f>
        <v>570.15</v>
      </c>
      <c r="H48" s="224"/>
      <c r="I48" s="226"/>
      <c r="J48" s="227"/>
      <c r="K48" s="228"/>
      <c r="L48" s="222"/>
      <c r="M48" s="227"/>
      <c r="N48" s="224"/>
      <c r="O48" s="225"/>
      <c r="P48" s="227"/>
      <c r="Q48" s="229" t="n">
        <f aca="false">D48+E48+G48+H48+J48+K48+M48+N48</f>
        <v>1140.3</v>
      </c>
      <c r="R48" s="230"/>
      <c r="S48" s="223"/>
      <c r="T48" s="227"/>
      <c r="U48" s="223"/>
    </row>
    <row r="49" customFormat="false" ht="15.75" hidden="false" customHeight="false" outlineLevel="0" collapsed="false">
      <c r="A49" s="220"/>
      <c r="B49" s="221"/>
      <c r="C49" s="222" t="n">
        <f aca="false">SUM(C46:C47)</f>
        <v>141</v>
      </c>
      <c r="D49" s="223" t="n">
        <f aca="false">SUM(D47:D48)</f>
        <v>2865.63</v>
      </c>
      <c r="E49" s="229" t="n">
        <f aca="false">SUM(E47:E48)</f>
        <v>3273</v>
      </c>
      <c r="F49" s="232" t="n">
        <f aca="false">SUM(F46:F47)</f>
        <v>67</v>
      </c>
      <c r="G49" s="223" t="n">
        <f aca="false">SUM(G47:G48)</f>
        <v>1660.91</v>
      </c>
      <c r="H49" s="229" t="n">
        <f aca="false">SUM(H47:H48)</f>
        <v>15766.48</v>
      </c>
      <c r="I49" s="226" t="n">
        <f aca="false">SUM(I46:I47)</f>
        <v>60.5</v>
      </c>
      <c r="J49" s="227" t="n">
        <f aca="false">SUM(J46:J47)</f>
        <v>897.82</v>
      </c>
      <c r="K49" s="228"/>
      <c r="L49" s="222" t="n">
        <f aca="false">SUM(L46:L47)</f>
        <v>0</v>
      </c>
      <c r="M49" s="227" t="n">
        <f aca="false">SUM(M46:M47)</f>
        <v>0</v>
      </c>
      <c r="N49" s="224"/>
      <c r="O49" s="225" t="n">
        <f aca="false">(D49+G49+J49+M49)*0.085</f>
        <v>461.0706</v>
      </c>
      <c r="P49" s="233" t="n">
        <f aca="false">(D49+E49+G49+H49+J49+K49+M49+N49)*0.05</f>
        <v>1223.192</v>
      </c>
      <c r="Q49" s="229" t="n">
        <f aca="false">SUM(Q47:Q48)</f>
        <v>25493.44</v>
      </c>
      <c r="R49" s="116" t="n">
        <f aca="false">SUM(O49:Q49)</f>
        <v>27177.7026</v>
      </c>
      <c r="S49" s="223" t="n">
        <f aca="false">Q49*T45</f>
        <v>12201.160384</v>
      </c>
      <c r="T49" s="227"/>
      <c r="U49" s="117" t="n">
        <f aca="false">Q45-R49</f>
        <v>45992.2974</v>
      </c>
    </row>
    <row r="50" customFormat="false" ht="15.75" hidden="false" customHeight="false" outlineLevel="0" collapsed="false">
      <c r="A50" s="220"/>
      <c r="B50" s="221"/>
      <c r="C50" s="222"/>
      <c r="D50" s="223"/>
      <c r="E50" s="229"/>
      <c r="F50" s="232"/>
      <c r="G50" s="223"/>
      <c r="H50" s="224"/>
      <c r="I50" s="226"/>
      <c r="J50" s="227"/>
      <c r="K50" s="228"/>
      <c r="L50" s="222"/>
      <c r="M50" s="227"/>
      <c r="N50" s="224"/>
      <c r="O50" s="225"/>
      <c r="P50" s="233"/>
      <c r="Q50" s="229"/>
      <c r="R50" s="116"/>
      <c r="S50" s="223"/>
      <c r="T50" s="227"/>
      <c r="U50" s="117"/>
    </row>
    <row r="51" customFormat="false" ht="15.75" hidden="false" customHeight="false" outlineLevel="0" collapsed="false">
      <c r="A51" s="80"/>
      <c r="B51" s="123"/>
      <c r="C51" s="124"/>
      <c r="D51" s="92"/>
      <c r="E51" s="163"/>
      <c r="F51" s="126"/>
      <c r="G51" s="162"/>
      <c r="H51" s="234"/>
      <c r="I51" s="128"/>
      <c r="J51" s="91"/>
      <c r="K51" s="129"/>
      <c r="L51" s="124"/>
      <c r="M51" s="91"/>
      <c r="N51" s="125"/>
      <c r="O51" s="126"/>
      <c r="P51" s="152"/>
      <c r="Q51" s="163"/>
      <c r="R51" s="128"/>
      <c r="S51" s="152"/>
      <c r="T51" s="91"/>
      <c r="U51" s="92"/>
    </row>
    <row r="52" customFormat="false" ht="15.75" hidden="false" customHeight="false" outlineLevel="0" collapsed="false">
      <c r="A52" s="235" t="s">
        <v>31</v>
      </c>
      <c r="B52" s="236" t="n">
        <f aca="false">Q52/130</f>
        <v>69.7547333569064</v>
      </c>
      <c r="C52" s="237" t="n">
        <f aca="false">Q52/4</f>
        <v>2267.02883409946</v>
      </c>
      <c r="D52" s="238"/>
      <c r="E52" s="239"/>
      <c r="F52" s="240" t="n">
        <v>15875</v>
      </c>
      <c r="G52" s="238"/>
      <c r="H52" s="241"/>
      <c r="I52" s="242" t="n">
        <v>15875</v>
      </c>
      <c r="J52" s="243"/>
      <c r="K52" s="244"/>
      <c r="L52" s="245" t="n">
        <v>10450</v>
      </c>
      <c r="M52" s="243"/>
      <c r="N52" s="241"/>
      <c r="O52" s="240"/>
      <c r="P52" s="246"/>
      <c r="Q52" s="247" t="n">
        <f aca="false">S52/T52</f>
        <v>9068.11533639783</v>
      </c>
      <c r="R52" s="248"/>
      <c r="S52" s="238" t="n">
        <v>4340</v>
      </c>
      <c r="T52" s="249" t="n">
        <v>0.4786</v>
      </c>
      <c r="U52" s="238"/>
    </row>
    <row r="53" customFormat="false" ht="15.75" hidden="false" customHeight="false" outlineLevel="0" collapsed="false">
      <c r="A53" s="235"/>
      <c r="B53" s="236"/>
      <c r="C53" s="245"/>
      <c r="D53" s="238"/>
      <c r="E53" s="239"/>
      <c r="F53" s="240"/>
      <c r="G53" s="238"/>
      <c r="H53" s="241"/>
      <c r="I53" s="242"/>
      <c r="J53" s="243"/>
      <c r="K53" s="244"/>
      <c r="L53" s="245"/>
      <c r="M53" s="243"/>
      <c r="N53" s="241"/>
      <c r="O53" s="240"/>
      <c r="P53" s="246"/>
      <c r="Q53" s="247"/>
      <c r="R53" s="248"/>
      <c r="S53" s="238"/>
      <c r="T53" s="243"/>
      <c r="U53" s="238"/>
    </row>
    <row r="54" customFormat="false" ht="15.75" hidden="false" customHeight="false" outlineLevel="0" collapsed="false">
      <c r="A54" s="235" t="s">
        <v>146</v>
      </c>
      <c r="B54" s="236"/>
      <c r="C54" s="245" t="n">
        <v>38</v>
      </c>
      <c r="D54" s="238" t="n">
        <f aca="false">C54*16.28</f>
        <v>618.64</v>
      </c>
      <c r="E54" s="239"/>
      <c r="F54" s="250" t="n">
        <v>80</v>
      </c>
      <c r="G54" s="238" t="n">
        <f aca="false">F54*16.28</f>
        <v>1302.4</v>
      </c>
      <c r="H54" s="247" t="n">
        <v>2000</v>
      </c>
      <c r="I54" s="242" t="n">
        <v>25</v>
      </c>
      <c r="J54" s="243" t="n">
        <f aca="false">I54*14.84</f>
        <v>371</v>
      </c>
      <c r="K54" s="244"/>
      <c r="L54" s="245"/>
      <c r="M54" s="243"/>
      <c r="N54" s="241"/>
      <c r="O54" s="240"/>
      <c r="P54" s="246"/>
      <c r="Q54" s="229" t="n">
        <f aca="false">D54+E54+G54+H54+J54+K54+M54+N54</f>
        <v>4292.04</v>
      </c>
      <c r="R54" s="248"/>
      <c r="S54" s="238"/>
      <c r="T54" s="243"/>
      <c r="U54" s="238"/>
    </row>
    <row r="55" customFormat="false" ht="15.75" hidden="false" customHeight="false" outlineLevel="0" collapsed="false">
      <c r="A55" s="235" t="s">
        <v>150</v>
      </c>
      <c r="B55" s="236" t="n">
        <f aca="false">(C55+F55)/7</f>
        <v>16.8571428571429</v>
      </c>
      <c r="C55" s="245" t="n">
        <f aca="false">SUM(C53:C54)</f>
        <v>38</v>
      </c>
      <c r="D55" s="238" t="n">
        <f aca="false">SUM(D53:D54)</f>
        <v>618.64</v>
      </c>
      <c r="E55" s="247" t="n">
        <f aca="false">SUM(E53:E54)</f>
        <v>0</v>
      </c>
      <c r="F55" s="250" t="n">
        <f aca="false">SUM(F53:F54)</f>
        <v>80</v>
      </c>
      <c r="G55" s="238" t="n">
        <f aca="false">SUM(G53:G54)</f>
        <v>1302.4</v>
      </c>
      <c r="H55" s="247" t="n">
        <f aca="false">SUM(H53:H54)</f>
        <v>2000</v>
      </c>
      <c r="I55" s="251" t="n">
        <f aca="false">SUM(I53:I54)</f>
        <v>25</v>
      </c>
      <c r="J55" s="238" t="n">
        <f aca="false">SUM(J53:J54)</f>
        <v>371</v>
      </c>
      <c r="K55" s="252" t="n">
        <f aca="false">SUM(K53:K54)</f>
        <v>0</v>
      </c>
      <c r="L55" s="253" t="n">
        <f aca="false">SUM(L53:L54)</f>
        <v>0</v>
      </c>
      <c r="M55" s="238" t="n">
        <f aca="false">SUM(M53:M54)</f>
        <v>0</v>
      </c>
      <c r="N55" s="247" t="n">
        <f aca="false">SUM(N53:N54)</f>
        <v>0</v>
      </c>
      <c r="O55" s="240" t="n">
        <f aca="false">(D55+G55+J55+M55)*0.085</f>
        <v>194.8234</v>
      </c>
      <c r="P55" s="246" t="n">
        <f aca="false">(D55+E55+G55+H55+J55+K55+M55+N55)*0.05</f>
        <v>214.602</v>
      </c>
      <c r="Q55" s="247" t="n">
        <f aca="false">SUM(Q53:Q54)</f>
        <v>4292.04</v>
      </c>
      <c r="R55" s="116" t="n">
        <f aca="false">SUM(O55:Q55)</f>
        <v>4701.4654</v>
      </c>
      <c r="S55" s="238" t="n">
        <f aca="false">R55*T52</f>
        <v>2250.12134044</v>
      </c>
      <c r="T55" s="243"/>
      <c r="U55" s="117" t="n">
        <f aca="false">Q52-R55</f>
        <v>4366.64993639783</v>
      </c>
    </row>
    <row r="56" customFormat="false" ht="15.75" hidden="false" customHeight="false" outlineLevel="0" collapsed="false">
      <c r="A56" s="235" t="s">
        <v>151</v>
      </c>
      <c r="B56" s="236" t="n">
        <f aca="false">B52-B55</f>
        <v>52.8975904997635</v>
      </c>
      <c r="C56" s="240"/>
      <c r="D56" s="246"/>
      <c r="E56" s="239"/>
      <c r="F56" s="240" t="s">
        <v>152</v>
      </c>
      <c r="G56" s="238" t="n">
        <f aca="false">G49+G55</f>
        <v>2963.31</v>
      </c>
      <c r="H56" s="247" t="n">
        <f aca="false">H49+H55</f>
        <v>17766.48</v>
      </c>
      <c r="I56" s="242"/>
      <c r="J56" s="243"/>
      <c r="K56" s="244"/>
      <c r="L56" s="245"/>
      <c r="M56" s="243"/>
      <c r="N56" s="241"/>
      <c r="O56" s="240" t="s">
        <v>5</v>
      </c>
      <c r="P56" s="254" t="s">
        <v>5</v>
      </c>
      <c r="Q56" s="239" t="s">
        <v>5</v>
      </c>
      <c r="R56" s="255" t="s">
        <v>5</v>
      </c>
      <c r="S56" s="238"/>
      <c r="T56" s="243"/>
      <c r="U56" s="238"/>
    </row>
    <row r="57" customFormat="false" ht="15.75" hidden="false" customHeight="false" outlineLevel="0" collapsed="false">
      <c r="A57" s="235"/>
      <c r="B57" s="236"/>
      <c r="C57" s="119" t="n">
        <v>0.05</v>
      </c>
      <c r="D57" s="114" t="n">
        <f aca="false">D55*C57</f>
        <v>30.932</v>
      </c>
      <c r="E57" s="239"/>
      <c r="F57" s="240"/>
      <c r="G57" s="256" t="n">
        <v>0.05</v>
      </c>
      <c r="H57" s="257" t="n">
        <f aca="false">(G56+H56)*G57</f>
        <v>1036.4895</v>
      </c>
      <c r="I57" s="242"/>
      <c r="J57" s="243"/>
      <c r="K57" s="244"/>
      <c r="L57" s="245"/>
      <c r="M57" s="243"/>
      <c r="N57" s="241"/>
      <c r="O57" s="240"/>
      <c r="P57" s="254"/>
      <c r="Q57" s="239"/>
      <c r="R57" s="255"/>
      <c r="S57" s="238"/>
      <c r="T57" s="243"/>
      <c r="U57" s="238"/>
    </row>
    <row r="58" customFormat="false" ht="15.75" hidden="false" customHeight="false" outlineLevel="0" collapsed="false">
      <c r="A58" s="235"/>
      <c r="B58" s="236"/>
      <c r="C58" s="122" t="n">
        <v>0.085</v>
      </c>
      <c r="D58" s="258" t="n">
        <f aca="false">D55*C58</f>
        <v>52.5844</v>
      </c>
      <c r="E58" s="239"/>
      <c r="F58" s="240"/>
      <c r="G58" s="259" t="n">
        <v>0.085</v>
      </c>
      <c r="H58" s="260" t="n">
        <f aca="false">G56*G58</f>
        <v>251.88135</v>
      </c>
      <c r="I58" s="242"/>
      <c r="J58" s="243"/>
      <c r="K58" s="244"/>
      <c r="L58" s="245"/>
      <c r="M58" s="243"/>
      <c r="N58" s="241"/>
      <c r="O58" s="240"/>
      <c r="P58" s="254"/>
      <c r="Q58" s="239"/>
      <c r="R58" s="255"/>
      <c r="S58" s="238"/>
      <c r="T58" s="243"/>
      <c r="U58" s="238"/>
    </row>
    <row r="59" customFormat="false" ht="15.75" hidden="false" customHeight="false" outlineLevel="0" collapsed="false">
      <c r="A59" s="80"/>
      <c r="B59" s="129"/>
      <c r="C59" s="124"/>
      <c r="D59" s="92"/>
      <c r="E59" s="125"/>
      <c r="F59" s="126"/>
      <c r="G59" s="92"/>
      <c r="H59" s="125"/>
      <c r="I59" s="128"/>
      <c r="J59" s="91"/>
      <c r="K59" s="129"/>
      <c r="L59" s="124"/>
      <c r="M59" s="91"/>
      <c r="N59" s="125"/>
      <c r="O59" s="126" t="n">
        <f aca="false">O55+O49+O37+O29+O19+O9</f>
        <v>2065.482575</v>
      </c>
      <c r="P59" s="152" t="n">
        <f aca="false">P55+P49+P37+P29+P19+P9</f>
        <v>2364.16375</v>
      </c>
      <c r="Q59" s="163" t="n">
        <f aca="false">Q55+Q49+Q37+Q29+Q19+Q9</f>
        <v>49925.475</v>
      </c>
      <c r="R59" s="128"/>
      <c r="S59" s="152"/>
      <c r="T59" s="91"/>
      <c r="U59" s="92"/>
    </row>
    <row r="60" customFormat="false" ht="15.75" hidden="false" customHeight="false" outlineLevel="0" collapsed="false">
      <c r="A60" s="80"/>
      <c r="B60" s="129"/>
      <c r="C60" s="124"/>
      <c r="D60" s="92"/>
      <c r="E60" s="125"/>
      <c r="F60" s="126"/>
      <c r="G60" s="92"/>
      <c r="H60" s="125"/>
      <c r="I60" s="128"/>
      <c r="J60" s="91"/>
      <c r="K60" s="129"/>
      <c r="L60" s="124"/>
      <c r="M60" s="91"/>
      <c r="N60" s="125"/>
      <c r="O60" s="124" t="s">
        <v>153</v>
      </c>
      <c r="P60" s="114" t="n">
        <f aca="false">O59+P59</f>
        <v>4429.646325</v>
      </c>
      <c r="Q60" s="257" t="n">
        <f aca="false">Q59+P60</f>
        <v>54355.121325</v>
      </c>
      <c r="R60" s="128"/>
      <c r="S60" s="152"/>
      <c r="T60" s="91"/>
      <c r="U60" s="92"/>
    </row>
    <row r="61" customFormat="false" ht="15.75" hidden="false" customHeight="false" outlineLevel="0" collapsed="false">
      <c r="A61" s="80"/>
      <c r="B61" s="129"/>
      <c r="C61" s="124" t="s">
        <v>154</v>
      </c>
      <c r="D61" s="92" t="s">
        <v>155</v>
      </c>
      <c r="E61" s="125"/>
      <c r="F61" s="126"/>
      <c r="G61" s="92"/>
      <c r="H61" s="125"/>
      <c r="I61" s="128"/>
      <c r="J61" s="91"/>
      <c r="K61" s="129"/>
      <c r="L61" s="124"/>
      <c r="M61" s="91"/>
      <c r="N61" s="125"/>
      <c r="O61" s="124"/>
      <c r="P61" s="91"/>
      <c r="Q61" s="163"/>
      <c r="R61" s="128"/>
      <c r="S61" s="152"/>
      <c r="T61" s="91"/>
      <c r="U61" s="92"/>
    </row>
    <row r="62" customFormat="false" ht="15.75" hidden="false" customHeight="false" outlineLevel="0" collapsed="false">
      <c r="A62" s="80" t="s">
        <v>156</v>
      </c>
      <c r="B62" s="123" t="n">
        <f aca="false">B24+B14+B4</f>
        <v>183.5</v>
      </c>
      <c r="C62" s="261" t="n">
        <f aca="false">(C6+F6+C16+F16+C26+F26)/7</f>
        <v>99.1428571428571</v>
      </c>
      <c r="D62" s="262" t="n">
        <f aca="false">B62-C62</f>
        <v>84.3571428571429</v>
      </c>
      <c r="E62" s="125"/>
      <c r="F62" s="126"/>
      <c r="G62" s="92"/>
      <c r="H62" s="125"/>
      <c r="I62" s="128"/>
      <c r="J62" s="91"/>
      <c r="K62" s="129"/>
      <c r="L62" s="124"/>
      <c r="M62" s="91"/>
      <c r="N62" s="125"/>
      <c r="O62" s="263" t="s">
        <v>157</v>
      </c>
      <c r="P62" s="264"/>
      <c r="Q62" s="163" t="n">
        <f aca="false">Q4+Q14+Q24+Q32+Q45+Q52</f>
        <v>142388.115336398</v>
      </c>
      <c r="R62" s="128"/>
      <c r="S62" s="152"/>
      <c r="T62" s="91"/>
      <c r="U62" s="92"/>
    </row>
    <row r="63" customFormat="false" ht="15.75" hidden="false" customHeight="false" outlineLevel="0" collapsed="false">
      <c r="A63" s="80" t="s">
        <v>158</v>
      </c>
      <c r="B63" s="123" t="n">
        <f aca="false">B52</f>
        <v>69.7547333569064</v>
      </c>
      <c r="C63" s="261" t="n">
        <f aca="false">(C47+F47+C54+F54)/7</f>
        <v>46.5714285714286</v>
      </c>
      <c r="D63" s="262" t="n">
        <f aca="false">B63-C63</f>
        <v>23.1833047854778</v>
      </c>
      <c r="E63" s="125"/>
      <c r="F63" s="126"/>
      <c r="G63" s="92"/>
      <c r="H63" s="125"/>
      <c r="I63" s="128"/>
      <c r="J63" s="91"/>
      <c r="K63" s="129"/>
      <c r="L63" s="124"/>
      <c r="M63" s="91"/>
      <c r="N63" s="125"/>
      <c r="O63" s="263" t="s">
        <v>159</v>
      </c>
      <c r="P63" s="91"/>
      <c r="Q63" s="163" t="n">
        <f aca="false">Q45+Q52</f>
        <v>82238.1153363978</v>
      </c>
      <c r="R63" s="265" t="n">
        <f aca="false">R49+R55</f>
        <v>31879.168</v>
      </c>
      <c r="S63" s="152" t="n">
        <f aca="false">Q63-R63</f>
        <v>50358.9473363978</v>
      </c>
      <c r="T63" s="91"/>
      <c r="U63" s="117" t="n">
        <f aca="false">U49+U55</f>
        <v>50358.9473363978</v>
      </c>
    </row>
    <row r="64" customFormat="false" ht="15.75" hidden="false" customHeight="false" outlineLevel="0" collapsed="false">
      <c r="A64" s="266" t="s">
        <v>160</v>
      </c>
      <c r="B64" s="123" t="n">
        <f aca="false">B32</f>
        <v>321.538461538462</v>
      </c>
      <c r="C64" s="124"/>
      <c r="D64" s="92"/>
      <c r="E64" s="125"/>
      <c r="F64" s="126"/>
      <c r="G64" s="92"/>
      <c r="H64" s="267"/>
      <c r="I64" s="265"/>
      <c r="J64" s="91"/>
      <c r="K64" s="129"/>
      <c r="L64" s="124"/>
      <c r="M64" s="91"/>
      <c r="N64" s="125"/>
      <c r="O64" s="263" t="s">
        <v>161</v>
      </c>
      <c r="P64" s="264"/>
      <c r="Q64" s="163" t="n">
        <f aca="false">Q62-Q63</f>
        <v>60150</v>
      </c>
      <c r="R64" s="128"/>
      <c r="S64" s="152"/>
      <c r="T64" s="91"/>
      <c r="U64" s="92"/>
    </row>
    <row r="65" customFormat="false" ht="15.75" hidden="false" customHeight="false" outlineLevel="0" collapsed="false">
      <c r="A65" s="80"/>
      <c r="B65" s="129"/>
      <c r="C65" s="268"/>
      <c r="D65" s="92"/>
      <c r="E65" s="125"/>
      <c r="F65" s="126"/>
      <c r="G65" s="92"/>
      <c r="H65" s="269"/>
      <c r="I65" s="265"/>
      <c r="J65" s="91"/>
      <c r="K65" s="129"/>
      <c r="L65" s="124"/>
      <c r="M65" s="91"/>
      <c r="N65" s="125"/>
      <c r="O65" s="124" t="s">
        <v>162</v>
      </c>
      <c r="P65" s="91"/>
      <c r="Q65" s="115" t="n">
        <f aca="false">R55+R49+R37+R29+R19+R9</f>
        <v>54355.121325</v>
      </c>
      <c r="R65" s="270" t="n">
        <f aca="false">Q65/Q64</f>
        <v>0.903659539900249</v>
      </c>
      <c r="S65" s="152"/>
      <c r="T65" s="91"/>
      <c r="U65" s="92"/>
    </row>
    <row r="66" customFormat="false" ht="16.5" hidden="false" customHeight="false" outlineLevel="0" collapsed="false">
      <c r="A66" s="80" t="s">
        <v>163</v>
      </c>
      <c r="B66" s="129" t="n">
        <v>251</v>
      </c>
      <c r="C66" s="124" t="s">
        <v>155</v>
      </c>
      <c r="D66" s="92"/>
      <c r="E66" s="125"/>
      <c r="F66" s="271"/>
      <c r="G66" s="272"/>
      <c r="H66" s="273"/>
      <c r="I66" s="274"/>
      <c r="J66" s="275"/>
      <c r="K66" s="276"/>
      <c r="L66" s="277"/>
      <c r="M66" s="275"/>
      <c r="N66" s="273"/>
      <c r="O66" s="278" t="s">
        <v>164</v>
      </c>
      <c r="P66" s="275"/>
      <c r="Q66" s="279" t="n">
        <f aca="false">Q64-Q65</f>
        <v>5794.87867500002</v>
      </c>
      <c r="R66" s="270" t="n">
        <f aca="false">Q66/Q64</f>
        <v>0.0963404600997508</v>
      </c>
      <c r="S66" s="152"/>
      <c r="T66" s="91"/>
      <c r="U66" s="92"/>
    </row>
    <row r="67" customFormat="false" ht="15.75" hidden="false" customHeight="false" outlineLevel="0" collapsed="false">
      <c r="A67" s="80" t="s">
        <v>165</v>
      </c>
      <c r="B67" s="129" t="n">
        <v>30</v>
      </c>
      <c r="C67" s="261" t="n">
        <f aca="false">B68-B62</f>
        <v>37.5</v>
      </c>
      <c r="D67" s="92"/>
      <c r="E67" s="234"/>
    </row>
    <row r="68" customFormat="false" ht="16.5" hidden="false" customHeight="false" outlineLevel="0" collapsed="false">
      <c r="A68" s="80" t="s">
        <v>155</v>
      </c>
      <c r="B68" s="129" t="n">
        <v>221</v>
      </c>
      <c r="C68" s="280" t="n">
        <f aca="false">B68-B63</f>
        <v>151.245266643094</v>
      </c>
      <c r="D68" s="272"/>
      <c r="E68" s="281"/>
    </row>
  </sheetData>
  <mergeCells count="5">
    <mergeCell ref="C1:D1"/>
    <mergeCell ref="F1:G1"/>
    <mergeCell ref="I1:J1"/>
    <mergeCell ref="L1:M1"/>
    <mergeCell ref="V14:X1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62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82" zoomScaleNormal="82" zoomScalePageLayoutView="100" workbookViewId="0">
      <pane xSplit="0" ySplit="4" topLeftCell="A29" activePane="bottomLeft" state="frozen"/>
      <selection pane="topLeft" activeCell="A1" activeCellId="0" sqref="A1"/>
      <selection pane="bottomLeft" activeCell="N43" activeCellId="0" sqref="N43"/>
    </sheetView>
  </sheetViews>
  <sheetFormatPr defaultRowHeight="15.75"/>
  <cols>
    <col collapsed="false" hidden="false" max="1" min="1" style="76" width="17.1428571428571"/>
    <col collapsed="false" hidden="false" max="2" min="2" style="77" width="5.39795918367347"/>
    <col collapsed="false" hidden="false" max="3" min="3" style="77" width="13.0918367346939"/>
    <col collapsed="false" hidden="false" max="4" min="4" style="78" width="11.2040816326531"/>
    <col collapsed="false" hidden="false" max="5" min="5" style="77" width="12.5561224489796"/>
    <col collapsed="false" hidden="false" max="6" min="6" style="79" width="13.0918367346939"/>
    <col collapsed="false" hidden="false" max="7" min="7" style="78" width="11.2040816326531"/>
    <col collapsed="false" hidden="false" max="8" min="8" style="77" width="13.6326530612245"/>
    <col collapsed="false" hidden="false" max="9" min="9" style="77" width="9.71938775510204"/>
    <col collapsed="false" hidden="false" max="11" min="10" style="77" width="12.5561224489796"/>
    <col collapsed="false" hidden="false" max="13" min="12" style="77" width="12.1479591836735"/>
    <col collapsed="false" hidden="false" max="14" min="14" style="77" width="14.1734693877551"/>
    <col collapsed="false" hidden="false" max="15" min="15" style="77" width="13.6326530612245"/>
    <col collapsed="false" hidden="false" max="16" min="16" style="77" width="12.5561224489796"/>
    <col collapsed="false" hidden="false" max="17" min="17" style="77" width="11.7448979591837"/>
    <col collapsed="false" hidden="false" max="18" min="18" style="79" width="12.5561224489796"/>
    <col collapsed="false" hidden="false" max="19" min="19" style="77" width="14.8469387755102"/>
    <col collapsed="false" hidden="false" max="20" min="20" style="79" width="12.4183673469388"/>
    <col collapsed="false" hidden="false" max="21" min="21" style="77" width="7.4234693877551"/>
    <col collapsed="false" hidden="false" max="22" min="22" style="78" width="10.8010204081633"/>
    <col collapsed="false" hidden="false" max="23" min="23" style="76" width="27.5408163265306"/>
    <col collapsed="false" hidden="false" max="1025" min="24" style="77" width="11.2040816326531"/>
  </cols>
  <sheetData>
    <row r="1" customFormat="false" ht="47.25" hidden="false" customHeight="false" outlineLevel="0" collapsed="false">
      <c r="A1" s="80"/>
      <c r="B1" s="81" t="s">
        <v>106</v>
      </c>
      <c r="C1" s="82" t="s">
        <v>1</v>
      </c>
      <c r="D1" s="82"/>
      <c r="E1" s="83"/>
      <c r="F1" s="82" t="s">
        <v>2</v>
      </c>
      <c r="G1" s="82"/>
      <c r="H1" s="83"/>
      <c r="I1" s="84" t="s">
        <v>3</v>
      </c>
      <c r="J1" s="84"/>
      <c r="K1" s="85"/>
      <c r="L1" s="82" t="s">
        <v>4</v>
      </c>
      <c r="M1" s="82"/>
      <c r="N1" s="83"/>
      <c r="O1" s="282" t="s">
        <v>136</v>
      </c>
      <c r="P1" s="86" t="s">
        <v>107</v>
      </c>
      <c r="Q1" s="87" t="s">
        <v>108</v>
      </c>
      <c r="R1" s="88"/>
      <c r="S1" s="283" t="s">
        <v>166</v>
      </c>
      <c r="T1" s="284" t="s">
        <v>6</v>
      </c>
      <c r="U1" s="285" t="s">
        <v>111</v>
      </c>
      <c r="V1" s="286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6.5" hidden="false" customHeight="false" outlineLevel="0" collapsed="false">
      <c r="A2" s="93" t="s">
        <v>112</v>
      </c>
      <c r="B2" s="94"/>
      <c r="C2" s="95"/>
      <c r="D2" s="96"/>
      <c r="E2" s="97"/>
      <c r="F2" s="98"/>
      <c r="G2" s="96"/>
      <c r="H2" s="97"/>
      <c r="I2" s="99" t="s">
        <v>113</v>
      </c>
      <c r="J2" s="100" t="n">
        <v>11.45</v>
      </c>
      <c r="K2" s="94"/>
      <c r="L2" s="99" t="s">
        <v>113</v>
      </c>
      <c r="M2" s="100" t="n">
        <v>11.42</v>
      </c>
      <c r="N2" s="97" t="s">
        <v>114</v>
      </c>
      <c r="O2" s="287"/>
      <c r="P2" s="98"/>
      <c r="Q2" s="101"/>
      <c r="R2" s="102"/>
      <c r="S2" s="95"/>
      <c r="T2" s="104"/>
      <c r="U2" s="101"/>
      <c r="V2" s="106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5.5" hidden="false" customHeight="false" outlineLevel="0" collapsed="false">
      <c r="A3" s="93" t="s">
        <v>116</v>
      </c>
      <c r="B3" s="105" t="n">
        <f aca="false">R3/100</f>
        <v>44</v>
      </c>
      <c r="C3" s="95" t="n">
        <v>1100</v>
      </c>
      <c r="D3" s="96"/>
      <c r="E3" s="97"/>
      <c r="F3" s="98" t="n">
        <v>1100</v>
      </c>
      <c r="G3" s="96"/>
      <c r="H3" s="97"/>
      <c r="I3" s="103" t="n">
        <v>1100</v>
      </c>
      <c r="J3" s="101"/>
      <c r="K3" s="94"/>
      <c r="L3" s="95" t="n">
        <v>1100</v>
      </c>
      <c r="M3" s="101"/>
      <c r="N3" s="97"/>
      <c r="O3" s="287"/>
      <c r="P3" s="98"/>
      <c r="Q3" s="87" t="s">
        <v>167</v>
      </c>
      <c r="R3" s="106" t="n">
        <f aca="false">SUM(C3:L3)</f>
        <v>4400</v>
      </c>
      <c r="S3" s="288"/>
      <c r="T3" s="96" t="n">
        <v>3500</v>
      </c>
      <c r="U3" s="108" t="n">
        <f aca="false">T3/R3</f>
        <v>0.795454545454546</v>
      </c>
      <c r="V3" s="289" t="s">
        <v>117</v>
      </c>
      <c r="W3" s="110" t="n">
        <f aca="true">TODAY()</f>
        <v>43234</v>
      </c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.75" hidden="false" customHeight="false" outlineLevel="0" collapsed="false">
      <c r="A4" s="93"/>
      <c r="B4" s="105"/>
      <c r="C4" s="95" t="s">
        <v>8</v>
      </c>
      <c r="D4" s="96" t="s">
        <v>118</v>
      </c>
      <c r="E4" s="97" t="s">
        <v>119</v>
      </c>
      <c r="F4" s="98" t="s">
        <v>8</v>
      </c>
      <c r="G4" s="96" t="s">
        <v>118</v>
      </c>
      <c r="H4" s="97" t="s">
        <v>119</v>
      </c>
      <c r="I4" s="103" t="s">
        <v>8</v>
      </c>
      <c r="J4" s="101" t="s">
        <v>118</v>
      </c>
      <c r="K4" s="94" t="s">
        <v>119</v>
      </c>
      <c r="L4" s="95" t="s">
        <v>8</v>
      </c>
      <c r="M4" s="101" t="s">
        <v>118</v>
      </c>
      <c r="N4" s="97" t="s">
        <v>119</v>
      </c>
      <c r="O4" s="287"/>
      <c r="P4" s="98"/>
      <c r="Q4" s="101"/>
      <c r="R4" s="111"/>
      <c r="S4" s="95"/>
      <c r="T4" s="96"/>
      <c r="U4" s="101"/>
      <c r="V4" s="106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false" outlineLevel="0" collapsed="false">
      <c r="A5" s="93" t="s">
        <v>121</v>
      </c>
      <c r="B5" s="105"/>
      <c r="C5" s="95" t="n">
        <v>43</v>
      </c>
      <c r="D5" s="117" t="n">
        <f aca="false">C5*12.56</f>
        <v>540.08</v>
      </c>
      <c r="E5" s="97"/>
      <c r="F5" s="112" t="n">
        <v>87</v>
      </c>
      <c r="G5" s="117" t="n">
        <f aca="false">F5*12.56</f>
        <v>1092.72</v>
      </c>
      <c r="H5" s="97"/>
      <c r="I5" s="103" t="n">
        <v>73</v>
      </c>
      <c r="J5" s="100" t="n">
        <v>833.45</v>
      </c>
      <c r="K5" s="94"/>
      <c r="L5" s="95" t="n">
        <v>77</v>
      </c>
      <c r="M5" s="100" t="n">
        <v>1084.84</v>
      </c>
      <c r="N5" s="97"/>
      <c r="O5" s="287"/>
      <c r="P5" s="98"/>
      <c r="Q5" s="101"/>
      <c r="R5" s="106" t="n">
        <f aca="false">D5+G5+J5+M5</f>
        <v>3551.09</v>
      </c>
      <c r="S5" s="288"/>
      <c r="T5" s="96"/>
      <c r="U5" s="101"/>
      <c r="V5" s="106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.75" hidden="false" customHeight="false" outlineLevel="0" collapsed="false">
      <c r="A6" s="93" t="s">
        <v>168</v>
      </c>
      <c r="B6" s="105"/>
      <c r="C6" s="95" t="n">
        <v>6</v>
      </c>
      <c r="D6" s="117" t="n">
        <f aca="false">C6*12.67</f>
        <v>76.02</v>
      </c>
      <c r="E6" s="97"/>
      <c r="F6" s="112"/>
      <c r="G6" s="96"/>
      <c r="H6" s="97"/>
      <c r="I6" s="103"/>
      <c r="J6" s="101"/>
      <c r="K6" s="94"/>
      <c r="L6" s="95"/>
      <c r="M6" s="100" t="n">
        <v>56.37</v>
      </c>
      <c r="N6" s="97"/>
      <c r="O6" s="287"/>
      <c r="P6" s="98"/>
      <c r="Q6" s="101"/>
      <c r="R6" s="106" t="n">
        <f aca="false">D6+G6+J6+M6</f>
        <v>132.39</v>
      </c>
      <c r="S6" s="288"/>
      <c r="T6" s="96"/>
      <c r="U6" s="101"/>
      <c r="V6" s="106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false" outlineLevel="0" collapsed="false">
      <c r="A7" s="93" t="s">
        <v>124</v>
      </c>
      <c r="B7" s="105" t="n">
        <f aca="false">(C7+F7)/7</f>
        <v>19.4285714285714</v>
      </c>
      <c r="C7" s="95" t="n">
        <f aca="false">SUM(C5:C6)</f>
        <v>49</v>
      </c>
      <c r="D7" s="96" t="n">
        <f aca="false">SUM(D5:D6)</f>
        <v>616.1</v>
      </c>
      <c r="E7" s="97"/>
      <c r="F7" s="112" t="n">
        <f aca="false">SUM(F5:F6)</f>
        <v>87</v>
      </c>
      <c r="G7" s="96" t="n">
        <f aca="false">SUM(G5:G6)</f>
        <v>1092.72</v>
      </c>
      <c r="H7" s="97"/>
      <c r="I7" s="103" t="n">
        <f aca="false">SUM(I5:I6)</f>
        <v>73</v>
      </c>
      <c r="J7" s="101" t="n">
        <f aca="false">SUM(J5:J6)</f>
        <v>833.45</v>
      </c>
      <c r="K7" s="94"/>
      <c r="L7" s="95" t="n">
        <f aca="false">SUM(L5:L6)</f>
        <v>77</v>
      </c>
      <c r="M7" s="101" t="n">
        <f aca="false">SUM(M5:M6)</f>
        <v>1141.21</v>
      </c>
      <c r="N7" s="97"/>
      <c r="O7" s="290" t="n">
        <f aca="false">N7+K7+H7+E7</f>
        <v>0</v>
      </c>
      <c r="P7" s="291" t="n">
        <f aca="false">(D7+G7+J7+M7)*0.085</f>
        <v>313.0958</v>
      </c>
      <c r="Q7" s="114" t="n">
        <f aca="false">(D7+E7+G7+H7+J7+K7+M7+N7)*0.05</f>
        <v>184.174</v>
      </c>
      <c r="R7" s="115" t="n">
        <f aca="false">SUM(R5:R6)</f>
        <v>3683.48</v>
      </c>
      <c r="S7" s="205" t="n">
        <f aca="false">SUM(O7:R7)</f>
        <v>4180.7498</v>
      </c>
      <c r="T7" s="96" t="n">
        <f aca="false">S7*U3</f>
        <v>3325.59643181818</v>
      </c>
      <c r="U7" s="101"/>
      <c r="V7" s="115" t="n">
        <f aca="false">R3-S7</f>
        <v>219.250199999999</v>
      </c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.75" hidden="false" customHeight="false" outlineLevel="0" collapsed="false">
      <c r="A8" s="118" t="s">
        <v>125</v>
      </c>
      <c r="B8" s="105" t="n">
        <f aca="false">B3-B7</f>
        <v>24.5714285714286</v>
      </c>
      <c r="C8" s="119" t="n">
        <v>0.05</v>
      </c>
      <c r="D8" s="120" t="n">
        <f aca="false">D7*C8</f>
        <v>30.805</v>
      </c>
      <c r="E8" s="97"/>
      <c r="F8" s="119" t="n">
        <v>0.05</v>
      </c>
      <c r="G8" s="120" t="n">
        <f aca="false">G7*F8</f>
        <v>54.636</v>
      </c>
      <c r="H8" s="121" t="n">
        <f aca="false">D8+G8</f>
        <v>85.441</v>
      </c>
      <c r="I8" s="119" t="n">
        <v>0.05</v>
      </c>
      <c r="J8" s="120" t="n">
        <f aca="false">J7*I8</f>
        <v>41.6725</v>
      </c>
      <c r="K8" s="94"/>
      <c r="L8" s="119" t="n">
        <v>0.05</v>
      </c>
      <c r="M8" s="120" t="n">
        <f aca="false">M7*L8</f>
        <v>57.0605</v>
      </c>
      <c r="N8" s="97"/>
      <c r="O8" s="287"/>
      <c r="P8" s="98"/>
      <c r="Q8" s="101"/>
      <c r="R8" s="106"/>
      <c r="S8" s="288"/>
      <c r="T8" s="96"/>
      <c r="U8" s="101"/>
      <c r="V8" s="106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.75" hidden="false" customHeight="false" outlineLevel="0" collapsed="false">
      <c r="A9" s="118"/>
      <c r="B9" s="105"/>
      <c r="C9" s="122" t="n">
        <v>0.085</v>
      </c>
      <c r="D9" s="120" t="n">
        <f aca="false">D7*C9</f>
        <v>52.3685</v>
      </c>
      <c r="E9" s="97"/>
      <c r="F9" s="122" t="n">
        <v>0.085</v>
      </c>
      <c r="G9" s="120" t="n">
        <f aca="false">G7*F9</f>
        <v>92.8812</v>
      </c>
      <c r="H9" s="121" t="n">
        <f aca="false">D9+G9</f>
        <v>145.2497</v>
      </c>
      <c r="I9" s="122" t="n">
        <v>0.085</v>
      </c>
      <c r="J9" s="120" t="n">
        <f aca="false">J7*I9</f>
        <v>70.84325</v>
      </c>
      <c r="K9" s="94"/>
      <c r="L9" s="122" t="n">
        <v>0.085</v>
      </c>
      <c r="M9" s="120" t="n">
        <f aca="false">M7*L9</f>
        <v>97.00285</v>
      </c>
      <c r="N9" s="97"/>
      <c r="O9" s="287"/>
      <c r="P9" s="292" t="n">
        <f aca="false">D9+G9+J9+M9</f>
        <v>313.0958</v>
      </c>
      <c r="Q9" s="98" t="n">
        <f aca="false">D8+G8+J8+M8</f>
        <v>184.174</v>
      </c>
      <c r="R9" s="106"/>
      <c r="S9" s="288"/>
      <c r="T9" s="96"/>
      <c r="U9" s="101"/>
      <c r="V9" s="106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6.5" hidden="false" customHeight="false" outlineLevel="0" collapsed="false">
      <c r="A10" s="80"/>
      <c r="B10" s="123"/>
      <c r="C10" s="124"/>
      <c r="D10" s="92"/>
      <c r="E10" s="125"/>
      <c r="F10" s="126"/>
      <c r="G10" s="92"/>
      <c r="H10" s="127"/>
      <c r="I10" s="128"/>
      <c r="J10" s="91"/>
      <c r="K10" s="129"/>
      <c r="L10" s="124"/>
      <c r="M10" s="91"/>
      <c r="N10" s="125"/>
      <c r="O10" s="293"/>
      <c r="P10" s="126"/>
      <c r="Q10" s="91"/>
      <c r="R10" s="130"/>
      <c r="S10" s="294"/>
      <c r="T10" s="92"/>
      <c r="U10" s="132"/>
      <c r="V10" s="13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7" hidden="false" customHeight="true" outlineLevel="0" collapsed="false">
      <c r="A11" s="133" t="s">
        <v>127</v>
      </c>
      <c r="B11" s="134" t="n">
        <f aca="false">R11/100</f>
        <v>35</v>
      </c>
      <c r="C11" s="135" t="n">
        <v>875</v>
      </c>
      <c r="D11" s="136"/>
      <c r="E11" s="137"/>
      <c r="F11" s="138" t="n">
        <v>875</v>
      </c>
      <c r="G11" s="136"/>
      <c r="H11" s="139"/>
      <c r="I11" s="140" t="n">
        <v>875</v>
      </c>
      <c r="J11" s="141"/>
      <c r="K11" s="142"/>
      <c r="L11" s="135" t="n">
        <v>875</v>
      </c>
      <c r="M11" s="141"/>
      <c r="N11" s="137"/>
      <c r="O11" s="295"/>
      <c r="P11" s="138"/>
      <c r="Q11" s="87" t="s">
        <v>167</v>
      </c>
      <c r="R11" s="143" t="n">
        <f aca="false">SUM(C11:N11)</f>
        <v>3500</v>
      </c>
      <c r="S11" s="296"/>
      <c r="T11" s="136" t="n">
        <v>3500</v>
      </c>
      <c r="U11" s="145" t="n">
        <v>1</v>
      </c>
      <c r="V11" s="143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.75" hidden="false" customHeight="false" outlineLevel="0" collapsed="false">
      <c r="A12" s="133" t="s">
        <v>19</v>
      </c>
      <c r="B12" s="134"/>
      <c r="C12" s="135" t="n">
        <v>21</v>
      </c>
      <c r="D12" s="136" t="n">
        <f aca="false">C12*12.56</f>
        <v>263.76</v>
      </c>
      <c r="E12" s="137"/>
      <c r="F12" s="147" t="n">
        <v>22</v>
      </c>
      <c r="G12" s="117" t="n">
        <f aca="false">F12*12.56</f>
        <v>276.32</v>
      </c>
      <c r="H12" s="139"/>
      <c r="I12" s="148" t="n">
        <v>16</v>
      </c>
      <c r="J12" s="117" t="n">
        <v>182.67</v>
      </c>
      <c r="K12" s="142"/>
      <c r="L12" s="147" t="n">
        <v>69</v>
      </c>
      <c r="M12" s="117" t="n">
        <v>993.49</v>
      </c>
      <c r="N12" s="137"/>
      <c r="O12" s="295"/>
      <c r="P12" s="138"/>
      <c r="Q12" s="141"/>
      <c r="R12" s="149" t="n">
        <f aca="false">+D12+G12+J12+M12</f>
        <v>1716.24</v>
      </c>
      <c r="S12" s="135"/>
      <c r="T12" s="146"/>
      <c r="U12" s="141"/>
      <c r="V12" s="149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.75" hidden="false" customHeight="false" outlineLevel="0" collapsed="false">
      <c r="A13" s="133" t="s">
        <v>132</v>
      </c>
      <c r="B13" s="134"/>
      <c r="C13" s="135"/>
      <c r="D13" s="136" t="n">
        <f aca="false">C13*12.56</f>
        <v>0</v>
      </c>
      <c r="E13" s="137"/>
      <c r="F13" s="147"/>
      <c r="G13" s="136" t="n">
        <f aca="false">F13*12.56</f>
        <v>0</v>
      </c>
      <c r="H13" s="139"/>
      <c r="I13" s="148" t="n">
        <v>2</v>
      </c>
      <c r="J13" s="136" t="n">
        <f aca="false">I13*J2</f>
        <v>22.9</v>
      </c>
      <c r="K13" s="142"/>
      <c r="L13" s="147" t="n">
        <v>19</v>
      </c>
      <c r="M13" s="117" t="n">
        <v>214.01</v>
      </c>
      <c r="N13" s="137"/>
      <c r="O13" s="295"/>
      <c r="P13" s="138"/>
      <c r="Q13" s="141"/>
      <c r="R13" s="149" t="n">
        <f aca="false">+D13+G13+J13+M13</f>
        <v>236.91</v>
      </c>
      <c r="S13" s="135"/>
      <c r="T13" s="146"/>
      <c r="U13" s="141"/>
      <c r="V13" s="149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.75" hidden="false" customHeight="false" outlineLevel="0" collapsed="false">
      <c r="A14" s="133" t="s">
        <v>169</v>
      </c>
      <c r="B14" s="134"/>
      <c r="C14" s="135"/>
      <c r="D14" s="136"/>
      <c r="E14" s="137"/>
      <c r="F14" s="147"/>
      <c r="G14" s="136"/>
      <c r="H14" s="139"/>
      <c r="I14" s="148"/>
      <c r="J14" s="136"/>
      <c r="K14" s="142"/>
      <c r="L14" s="147"/>
      <c r="M14" s="117" t="n">
        <v>131.54</v>
      </c>
      <c r="N14" s="137"/>
      <c r="O14" s="295"/>
      <c r="P14" s="138"/>
      <c r="Q14" s="141"/>
      <c r="R14" s="149" t="n">
        <f aca="false">+D14+G14+J14+M14</f>
        <v>131.54</v>
      </c>
      <c r="S14" s="135"/>
      <c r="T14" s="146"/>
      <c r="U14" s="141"/>
      <c r="V14" s="149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.75" hidden="false" customHeight="false" outlineLevel="0" collapsed="false">
      <c r="A15" s="133" t="s">
        <v>21</v>
      </c>
      <c r="B15" s="134"/>
      <c r="C15" s="135"/>
      <c r="D15" s="136" t="n">
        <f aca="false">C15*12.56</f>
        <v>0</v>
      </c>
      <c r="E15" s="137"/>
      <c r="F15" s="147"/>
      <c r="G15" s="136" t="n">
        <f aca="false">F15*12.56</f>
        <v>0</v>
      </c>
      <c r="H15" s="139"/>
      <c r="I15" s="148"/>
      <c r="J15" s="136" t="n">
        <f aca="false">I15*J2</f>
        <v>0</v>
      </c>
      <c r="K15" s="142"/>
      <c r="L15" s="147" t="n">
        <v>23</v>
      </c>
      <c r="M15" s="117" t="n">
        <v>264.95</v>
      </c>
      <c r="N15" s="137"/>
      <c r="O15" s="295"/>
      <c r="P15" s="138"/>
      <c r="Q15" s="141"/>
      <c r="R15" s="149" t="n">
        <f aca="false">+D15+G15+J15+M15</f>
        <v>264.95</v>
      </c>
      <c r="S15" s="135"/>
      <c r="T15" s="146"/>
      <c r="U15" s="141"/>
      <c r="V15" s="149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.75" hidden="false" customHeight="false" outlineLevel="0" collapsed="false">
      <c r="A16" s="133" t="s">
        <v>124</v>
      </c>
      <c r="B16" s="134" t="n">
        <f aca="false">(C16+F16+I16+L16)/7</f>
        <v>24.5714285714286</v>
      </c>
      <c r="C16" s="135" t="n">
        <f aca="false">SUM(C12:C15)</f>
        <v>21</v>
      </c>
      <c r="D16" s="136" t="n">
        <f aca="false">SUM(D12:D15)</f>
        <v>263.76</v>
      </c>
      <c r="E16" s="137"/>
      <c r="F16" s="135" t="n">
        <f aca="false">SUM(F12:F15)</f>
        <v>22</v>
      </c>
      <c r="G16" s="136" t="n">
        <f aca="false">SUM(G12:G15)</f>
        <v>276.32</v>
      </c>
      <c r="H16" s="139"/>
      <c r="I16" s="135" t="n">
        <f aca="false">SUM(I12:I15)</f>
        <v>18</v>
      </c>
      <c r="J16" s="136" t="n">
        <f aca="false">SUM(J12:J15)</f>
        <v>205.57</v>
      </c>
      <c r="K16" s="142"/>
      <c r="L16" s="135" t="n">
        <f aca="false">SUM(L12:L15)</f>
        <v>111</v>
      </c>
      <c r="M16" s="136" t="n">
        <f aca="false">SUM(M12:M15)</f>
        <v>1603.99</v>
      </c>
      <c r="N16" s="136" t="n">
        <v>1171</v>
      </c>
      <c r="O16" s="290" t="n">
        <f aca="false">N16+K16+H16+E16</f>
        <v>1171</v>
      </c>
      <c r="P16" s="291" t="n">
        <f aca="false">(D16+G16+J16+M16)*0.085</f>
        <v>199.7194</v>
      </c>
      <c r="Q16" s="114" t="n">
        <f aca="false">(D16+E16+G16+H16+J16+K16+M16+N16)*0.05</f>
        <v>176.032</v>
      </c>
      <c r="R16" s="115" t="n">
        <f aca="false">SUM(R12:R15)</f>
        <v>2349.64</v>
      </c>
      <c r="S16" s="205" t="n">
        <f aca="false">SUM(O16:R16)</f>
        <v>3896.3914</v>
      </c>
      <c r="T16" s="136"/>
      <c r="U16" s="141"/>
      <c r="V16" s="115" t="n">
        <f aca="false">T11-S16</f>
        <v>-396.391399999999</v>
      </c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8" hidden="false" customHeight="true" outlineLevel="0" collapsed="false">
      <c r="A17" s="133" t="s">
        <v>125</v>
      </c>
      <c r="B17" s="134" t="n">
        <f aca="false">B11-B16</f>
        <v>10.4285714285714</v>
      </c>
      <c r="C17" s="119" t="n">
        <v>0.05</v>
      </c>
      <c r="D17" s="120" t="n">
        <f aca="false">D16*C17</f>
        <v>13.188</v>
      </c>
      <c r="E17" s="137"/>
      <c r="F17" s="119" t="n">
        <v>0.05</v>
      </c>
      <c r="G17" s="120" t="n">
        <f aca="false">G16*F17</f>
        <v>13.816</v>
      </c>
      <c r="H17" s="121"/>
      <c r="I17" s="155" t="n">
        <v>0.05</v>
      </c>
      <c r="J17" s="120" t="n">
        <f aca="false">J16*I17</f>
        <v>10.2785</v>
      </c>
      <c r="K17" s="156"/>
      <c r="L17" s="119" t="n">
        <v>0.05</v>
      </c>
      <c r="M17" s="120" t="n">
        <f aca="false">(M16+N16)*L17</f>
        <v>138.7495</v>
      </c>
      <c r="N17" s="121"/>
      <c r="O17" s="297"/>
      <c r="P17" s="138"/>
      <c r="Q17" s="157"/>
      <c r="R17" s="143"/>
      <c r="S17" s="296"/>
      <c r="T17" s="136"/>
      <c r="U17" s="141"/>
      <c r="V17" s="143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8" hidden="false" customHeight="true" outlineLevel="0" collapsed="false">
      <c r="A18" s="133"/>
      <c r="B18" s="134"/>
      <c r="C18" s="122" t="n">
        <v>0.085</v>
      </c>
      <c r="D18" s="120" t="n">
        <f aca="false">D16*C18</f>
        <v>22.4196</v>
      </c>
      <c r="E18" s="137"/>
      <c r="F18" s="122" t="n">
        <v>0.085</v>
      </c>
      <c r="G18" s="120" t="n">
        <f aca="false">G16*F18</f>
        <v>23.4872</v>
      </c>
      <c r="H18" s="121"/>
      <c r="I18" s="159" t="n">
        <v>0.085</v>
      </c>
      <c r="J18" s="120" t="n">
        <f aca="false">J16*I18</f>
        <v>17.47345</v>
      </c>
      <c r="K18" s="156"/>
      <c r="L18" s="122" t="n">
        <v>0.085</v>
      </c>
      <c r="M18" s="120" t="n">
        <f aca="false">M16*L18</f>
        <v>136.33915</v>
      </c>
      <c r="N18" s="121"/>
      <c r="O18" s="297"/>
      <c r="P18" s="292" t="n">
        <f aca="false">D18+G18+J18+M18</f>
        <v>199.7194</v>
      </c>
      <c r="Q18" s="98" t="n">
        <f aca="false">D17+G17+J17+M17</f>
        <v>176.032</v>
      </c>
      <c r="R18" s="143"/>
      <c r="S18" s="296"/>
      <c r="T18" s="136"/>
      <c r="U18" s="141"/>
      <c r="V18" s="143"/>
      <c r="W18" s="162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6.5" hidden="false" customHeight="false" outlineLevel="0" collapsed="false">
      <c r="A19" s="80"/>
      <c r="B19" s="123"/>
      <c r="C19" s="160"/>
      <c r="D19" s="92"/>
      <c r="E19" s="125"/>
      <c r="F19" s="161"/>
      <c r="G19" s="162"/>
      <c r="H19" s="125"/>
      <c r="I19" s="128"/>
      <c r="J19" s="91"/>
      <c r="K19" s="129"/>
      <c r="L19" s="124"/>
      <c r="M19" s="91"/>
      <c r="N19" s="125"/>
      <c r="O19" s="293"/>
      <c r="P19" s="126"/>
      <c r="Q19" s="91"/>
      <c r="R19" s="163"/>
      <c r="S19" s="124"/>
      <c r="T19" s="152"/>
      <c r="U19" s="91"/>
      <c r="V19" s="130"/>
      <c r="W19" s="162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31.5" hidden="false" customHeight="true" outlineLevel="0" collapsed="false">
      <c r="A20" s="165" t="s">
        <v>138</v>
      </c>
      <c r="B20" s="166" t="n">
        <f aca="false">R20/100</f>
        <v>104.5</v>
      </c>
      <c r="C20" s="167"/>
      <c r="D20" s="168" t="n">
        <v>2650</v>
      </c>
      <c r="E20" s="169"/>
      <c r="F20" s="170"/>
      <c r="G20" s="168" t="n">
        <v>2600</v>
      </c>
      <c r="H20" s="169"/>
      <c r="I20" s="171"/>
      <c r="J20" s="178" t="n">
        <v>2600</v>
      </c>
      <c r="K20" s="179"/>
      <c r="L20" s="180"/>
      <c r="M20" s="178" t="n">
        <v>2600</v>
      </c>
      <c r="N20" s="169"/>
      <c r="O20" s="298"/>
      <c r="P20" s="170"/>
      <c r="Q20" s="87" t="s">
        <v>167</v>
      </c>
      <c r="R20" s="181" t="n">
        <f aca="false">SUM(C20:N20)</f>
        <v>10450</v>
      </c>
      <c r="S20" s="180"/>
      <c r="T20" s="168" t="n">
        <f aca="false">R20*U20</f>
        <v>5001.37</v>
      </c>
      <c r="U20" s="183" t="n">
        <v>0.4786</v>
      </c>
      <c r="V20" s="181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.75" hidden="false" customHeight="false" outlineLevel="0" collapsed="false">
      <c r="A21" s="177" t="s">
        <v>142</v>
      </c>
      <c r="B21" s="166"/>
      <c r="C21" s="167" t="n">
        <v>299</v>
      </c>
      <c r="D21" s="117" t="n">
        <f aca="false">C21*12.56</f>
        <v>3755.44</v>
      </c>
      <c r="E21" s="169"/>
      <c r="F21" s="184" t="n">
        <v>222</v>
      </c>
      <c r="G21" s="117" t="n">
        <f aca="false">F21*12.56</f>
        <v>2788.32</v>
      </c>
      <c r="H21" s="169"/>
      <c r="I21" s="99" t="n">
        <v>104</v>
      </c>
      <c r="J21" s="117" t="n">
        <f aca="false">I21*11.45</f>
        <v>1190.8</v>
      </c>
      <c r="K21" s="173"/>
      <c r="L21" s="167" t="n">
        <v>108</v>
      </c>
      <c r="M21" s="100" t="n">
        <v>1485.7</v>
      </c>
      <c r="N21" s="169"/>
      <c r="O21" s="298"/>
      <c r="P21" s="170"/>
      <c r="Q21" s="172"/>
      <c r="R21" s="181" t="n">
        <f aca="false">D21+G21++J21+M21</f>
        <v>9220.26</v>
      </c>
      <c r="S21" s="180"/>
      <c r="T21" s="168"/>
      <c r="U21" s="172"/>
      <c r="V21" s="181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.75" hidden="false" customHeight="false" outlineLevel="0" collapsed="false">
      <c r="A22" s="177" t="s">
        <v>170</v>
      </c>
      <c r="B22" s="166"/>
      <c r="C22" s="167" t="n">
        <v>44</v>
      </c>
      <c r="D22" s="117" t="n">
        <f aca="false">C22*12.67</f>
        <v>557.48</v>
      </c>
      <c r="E22" s="169"/>
      <c r="F22" s="184" t="n">
        <v>62</v>
      </c>
      <c r="G22" s="117" t="n">
        <v>812</v>
      </c>
      <c r="H22" s="169"/>
      <c r="I22" s="171" t="n">
        <f aca="false">SUM(I20:I20)</f>
        <v>0</v>
      </c>
      <c r="J22" s="172"/>
      <c r="K22" s="173"/>
      <c r="L22" s="167" t="n">
        <v>39</v>
      </c>
      <c r="M22" s="100" t="n">
        <v>673.42</v>
      </c>
      <c r="N22" s="169"/>
      <c r="O22" s="298"/>
      <c r="P22" s="170"/>
      <c r="Q22" s="172"/>
      <c r="R22" s="181" t="n">
        <f aca="false">D22+G22+J22+M22</f>
        <v>2042.9</v>
      </c>
      <c r="S22" s="180"/>
      <c r="T22" s="168"/>
      <c r="U22" s="172"/>
      <c r="V22" s="181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.75" hidden="false" customHeight="false" outlineLevel="0" collapsed="false">
      <c r="A23" s="177" t="s">
        <v>171</v>
      </c>
      <c r="B23" s="166"/>
      <c r="C23" s="167" t="n">
        <v>6</v>
      </c>
      <c r="D23" s="117" t="n">
        <f aca="false">C23*12.56</f>
        <v>75.36</v>
      </c>
      <c r="E23" s="169"/>
      <c r="F23" s="184"/>
      <c r="G23" s="168" t="n">
        <f aca="false">F23*12.56</f>
        <v>0</v>
      </c>
      <c r="H23" s="169"/>
      <c r="I23" s="171"/>
      <c r="J23" s="172"/>
      <c r="K23" s="173"/>
      <c r="L23" s="167" t="n">
        <v>31</v>
      </c>
      <c r="M23" s="100" t="n">
        <v>461.07</v>
      </c>
      <c r="N23" s="169"/>
      <c r="O23" s="298"/>
      <c r="P23" s="170"/>
      <c r="Q23" s="172"/>
      <c r="R23" s="181" t="n">
        <f aca="false">D23+G23+J23+M23</f>
        <v>536.43</v>
      </c>
      <c r="S23" s="180"/>
      <c r="T23" s="168"/>
      <c r="U23" s="172"/>
      <c r="V23" s="181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.75" hidden="false" customHeight="false" outlineLevel="0" collapsed="false">
      <c r="A24" s="177" t="s">
        <v>124</v>
      </c>
      <c r="B24" s="166" t="n">
        <f aca="false">(C24+F24+I24+L24)/7</f>
        <v>130.714285714286</v>
      </c>
      <c r="C24" s="167" t="n">
        <f aca="false">SUM(C21:C23)</f>
        <v>349</v>
      </c>
      <c r="D24" s="172" t="n">
        <f aca="false">SUM(D21:D23)</f>
        <v>4388.28</v>
      </c>
      <c r="E24" s="169" t="n">
        <f aca="false">SUM(E21:E23)</f>
        <v>0</v>
      </c>
      <c r="F24" s="184" t="n">
        <f aca="false">SUM(F21:F23)</f>
        <v>284</v>
      </c>
      <c r="G24" s="172" t="n">
        <f aca="false">SUM(G21:G23)</f>
        <v>3600.32</v>
      </c>
      <c r="H24" s="169"/>
      <c r="I24" s="171" t="n">
        <f aca="false">SUM(I21:I23)</f>
        <v>104</v>
      </c>
      <c r="J24" s="172"/>
      <c r="K24" s="173"/>
      <c r="L24" s="167" t="n">
        <f aca="false">SUM(L21:L23)</f>
        <v>178</v>
      </c>
      <c r="M24" s="172" t="n">
        <f aca="false">SUM(M21:M23)</f>
        <v>2620.19</v>
      </c>
      <c r="N24" s="169"/>
      <c r="O24" s="290" t="n">
        <f aca="false">N24+K24+H24+E24</f>
        <v>0</v>
      </c>
      <c r="P24" s="299" t="n">
        <f aca="false">(D24+G24+J24+M24)*0.085</f>
        <v>901.74715</v>
      </c>
      <c r="Q24" s="175" t="n">
        <f aca="false">(D24+E24+G24+H24+J24+K24+M24+N24)*0.05</f>
        <v>530.4395</v>
      </c>
      <c r="R24" s="181" t="n">
        <f aca="false">SUM(R21:R23)</f>
        <v>11799.59</v>
      </c>
      <c r="S24" s="205" t="n">
        <f aca="false">SUM(O24:R24)</f>
        <v>13231.77665</v>
      </c>
      <c r="T24" s="168" t="n">
        <f aca="false">R24*U20</f>
        <v>5647.283774</v>
      </c>
      <c r="U24" s="172"/>
      <c r="V24" s="115" t="n">
        <f aca="false">R20-S24</f>
        <v>-2781.77665</v>
      </c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.75" hidden="false" customHeight="false" outlineLevel="0" collapsed="false">
      <c r="A25" s="177" t="s">
        <v>125</v>
      </c>
      <c r="B25" s="166" t="n">
        <f aca="false">B20-B24</f>
        <v>-26.2142857142857</v>
      </c>
      <c r="C25" s="119" t="n">
        <v>0.05</v>
      </c>
      <c r="D25" s="120" t="n">
        <f aca="false">D24*C25</f>
        <v>219.414</v>
      </c>
      <c r="E25" s="137"/>
      <c r="F25" s="119" t="n">
        <v>0.05</v>
      </c>
      <c r="G25" s="120" t="n">
        <f aca="false">G24*F25</f>
        <v>180.016</v>
      </c>
      <c r="H25" s="121"/>
      <c r="I25" s="155" t="n">
        <v>0.05</v>
      </c>
      <c r="J25" s="120" t="n">
        <f aca="false">J24*I25</f>
        <v>0</v>
      </c>
      <c r="K25" s="156"/>
      <c r="L25" s="119" t="n">
        <v>0.05</v>
      </c>
      <c r="M25" s="120" t="n">
        <f aca="false">(M24+N24)*L25</f>
        <v>131.0095</v>
      </c>
      <c r="N25" s="121"/>
      <c r="O25" s="297"/>
      <c r="P25" s="138"/>
      <c r="Q25" s="157"/>
      <c r="R25" s="181"/>
      <c r="S25" s="300"/>
      <c r="T25" s="168"/>
      <c r="U25" s="168"/>
      <c r="V25" s="181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.75" hidden="false" customHeight="false" outlineLevel="0" collapsed="false">
      <c r="A26" s="177"/>
      <c r="B26" s="166"/>
      <c r="C26" s="122" t="n">
        <v>0.085</v>
      </c>
      <c r="D26" s="120" t="n">
        <f aca="false">D24*C26</f>
        <v>373.0038</v>
      </c>
      <c r="E26" s="137"/>
      <c r="F26" s="122" t="n">
        <v>0.085</v>
      </c>
      <c r="G26" s="120" t="n">
        <f aca="false">G24*F26</f>
        <v>306.0272</v>
      </c>
      <c r="H26" s="121"/>
      <c r="I26" s="159" t="n">
        <v>0.085</v>
      </c>
      <c r="J26" s="120" t="n">
        <f aca="false">J24*I26</f>
        <v>0</v>
      </c>
      <c r="K26" s="156"/>
      <c r="L26" s="122" t="n">
        <v>0.085</v>
      </c>
      <c r="M26" s="120" t="n">
        <f aca="false">M24*L26</f>
        <v>222.71615</v>
      </c>
      <c r="N26" s="121"/>
      <c r="O26" s="297"/>
      <c r="P26" s="292" t="n">
        <f aca="false">D26+G26+J26+M26</f>
        <v>901.74715</v>
      </c>
      <c r="Q26" s="98" t="n">
        <f aca="false">D25+G25+J25+M25</f>
        <v>530.4395</v>
      </c>
      <c r="R26" s="181"/>
      <c r="S26" s="300"/>
      <c r="T26" s="168"/>
      <c r="U26" s="168"/>
      <c r="V26" s="181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6.5" hidden="false" customHeight="false" outlineLevel="0" collapsed="false">
      <c r="A27" s="80"/>
      <c r="B27" s="123"/>
      <c r="C27" s="124"/>
      <c r="D27" s="92"/>
      <c r="E27" s="125"/>
      <c r="F27" s="126"/>
      <c r="G27" s="92"/>
      <c r="H27" s="125"/>
      <c r="I27" s="128"/>
      <c r="J27" s="91"/>
      <c r="K27" s="129"/>
      <c r="L27" s="124"/>
      <c r="M27" s="91"/>
      <c r="N27" s="125"/>
      <c r="O27" s="293"/>
      <c r="P27" s="126"/>
      <c r="Q27" s="91"/>
      <c r="R27" s="163"/>
      <c r="S27" s="124"/>
      <c r="T27" s="152"/>
      <c r="U27" s="91"/>
      <c r="V27" s="130"/>
      <c r="W27" s="301" t="n">
        <f aca="false">549/60</f>
        <v>9.15</v>
      </c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27.75" hidden="false" customHeight="true" outlineLevel="0" collapsed="false">
      <c r="A28" s="186" t="s">
        <v>145</v>
      </c>
      <c r="B28" s="187" t="n">
        <f aca="false">R28/130</f>
        <v>321.538461538462</v>
      </c>
      <c r="C28" s="188" t="n">
        <v>10450</v>
      </c>
      <c r="D28" s="189"/>
      <c r="E28" s="190"/>
      <c r="F28" s="191" t="n">
        <v>10450</v>
      </c>
      <c r="G28" s="189"/>
      <c r="H28" s="190"/>
      <c r="I28" s="192" t="n">
        <v>10450</v>
      </c>
      <c r="J28" s="193"/>
      <c r="K28" s="194"/>
      <c r="L28" s="188" t="n">
        <v>10450</v>
      </c>
      <c r="M28" s="193"/>
      <c r="N28" s="190"/>
      <c r="O28" s="302"/>
      <c r="P28" s="191"/>
      <c r="Q28" s="87" t="s">
        <v>167</v>
      </c>
      <c r="R28" s="195" t="n">
        <f aca="false">SUM(C28:N28)</f>
        <v>41800</v>
      </c>
      <c r="S28" s="303"/>
      <c r="T28" s="189" t="n">
        <f aca="false">R28*U28</f>
        <v>20005.48</v>
      </c>
      <c r="U28" s="197" t="n">
        <v>0.4786</v>
      </c>
      <c r="V28" s="195"/>
      <c r="W28" s="301" t="n">
        <f aca="false">3.5*300</f>
        <v>1050</v>
      </c>
      <c r="X28" s="0"/>
      <c r="Y28" s="162" t="n">
        <f aca="false">537.3+81.48+488.41</f>
        <v>1107.19</v>
      </c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5.75" hidden="false" customHeight="false" outlineLevel="0" collapsed="false">
      <c r="A29" s="186" t="s">
        <v>146</v>
      </c>
      <c r="B29" s="187"/>
      <c r="C29" s="188" t="n">
        <v>68</v>
      </c>
      <c r="D29" s="117" t="n">
        <f aca="false">C29*16.28</f>
        <v>1107.04</v>
      </c>
      <c r="E29" s="304" t="n">
        <f aca="false">300+960+50</f>
        <v>1310</v>
      </c>
      <c r="F29" s="188" t="n">
        <v>113</v>
      </c>
      <c r="G29" s="117" t="n">
        <f aca="false">F29*16.28</f>
        <v>1839.64</v>
      </c>
      <c r="H29" s="190"/>
      <c r="I29" s="99" t="n">
        <v>80</v>
      </c>
      <c r="J29" s="100" t="n">
        <v>1212</v>
      </c>
      <c r="K29" s="194"/>
      <c r="L29" s="188" t="n">
        <v>74</v>
      </c>
      <c r="M29" s="100" t="n">
        <v>1100.63</v>
      </c>
      <c r="N29" s="190"/>
      <c r="O29" s="302"/>
      <c r="P29" s="191"/>
      <c r="Q29" s="193"/>
      <c r="R29" s="195" t="n">
        <f aca="false">D29+G29+J29+M29</f>
        <v>5259.31</v>
      </c>
      <c r="S29" s="303"/>
      <c r="T29" s="189"/>
      <c r="U29" s="193"/>
      <c r="V29" s="195"/>
      <c r="W29" s="301" t="n">
        <f aca="false">M21+M30</f>
        <v>2506.94</v>
      </c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5.75" hidden="false" customHeight="false" outlineLevel="0" collapsed="false">
      <c r="A30" s="186" t="s">
        <v>142</v>
      </c>
      <c r="B30" s="187"/>
      <c r="C30" s="188"/>
      <c r="D30" s="189"/>
      <c r="E30" s="190"/>
      <c r="F30" s="188"/>
      <c r="G30" s="189"/>
      <c r="H30" s="190"/>
      <c r="I30" s="99" t="n">
        <f aca="false">170-I21</f>
        <v>66</v>
      </c>
      <c r="J30" s="100" t="n">
        <f aca="false">11.45*I30</f>
        <v>755.7</v>
      </c>
      <c r="K30" s="194"/>
      <c r="L30" s="188" t="n">
        <v>79</v>
      </c>
      <c r="M30" s="100" t="n">
        <v>1021.24</v>
      </c>
      <c r="N30" s="190"/>
      <c r="O30" s="302"/>
      <c r="P30" s="191"/>
      <c r="Q30" s="193"/>
      <c r="R30" s="195" t="n">
        <f aca="false">D30+G30+J30+M30</f>
        <v>1776.94</v>
      </c>
      <c r="S30" s="303"/>
      <c r="T30" s="189"/>
      <c r="U30" s="193"/>
      <c r="V30" s="195"/>
      <c r="W30" s="301" t="n">
        <f aca="false">M29+M23</f>
        <v>1561.7</v>
      </c>
      <c r="X30" s="0"/>
      <c r="Y30" s="162" t="n">
        <f aca="false">212.67+309.34+290</f>
        <v>812.01</v>
      </c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5.75" hidden="false" customHeight="false" outlineLevel="0" collapsed="false">
      <c r="A31" s="186" t="s">
        <v>172</v>
      </c>
      <c r="B31" s="187"/>
      <c r="C31" s="188"/>
      <c r="D31" s="189"/>
      <c r="E31" s="190"/>
      <c r="F31" s="188"/>
      <c r="G31" s="189"/>
      <c r="H31" s="190"/>
      <c r="I31" s="192"/>
      <c r="J31" s="193"/>
      <c r="K31" s="194"/>
      <c r="L31" s="188"/>
      <c r="M31" s="193"/>
      <c r="N31" s="190"/>
      <c r="O31" s="302"/>
      <c r="P31" s="191"/>
      <c r="Q31" s="193"/>
      <c r="R31" s="195" t="n">
        <f aca="false">D31+G31+J31+M31</f>
        <v>0</v>
      </c>
      <c r="S31" s="303"/>
      <c r="T31" s="189"/>
      <c r="U31" s="193"/>
      <c r="V31" s="195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.75" hidden="false" customHeight="false" outlineLevel="0" collapsed="false">
      <c r="A32" s="186" t="s">
        <v>119</v>
      </c>
      <c r="B32" s="187"/>
      <c r="C32" s="188" t="n">
        <f aca="false">SUM(C29:C29)</f>
        <v>68</v>
      </c>
      <c r="D32" s="189" t="n">
        <f aca="false">SUM(D29:D29)</f>
        <v>1107.04</v>
      </c>
      <c r="E32" s="189" t="n">
        <f aca="false">SUM(E29:E29)</f>
        <v>1310</v>
      </c>
      <c r="F32" s="188" t="n">
        <f aca="false">SUM(F29:F29)</f>
        <v>113</v>
      </c>
      <c r="G32" s="189" t="n">
        <f aca="false">SUM(G29:G29)</f>
        <v>1839.64</v>
      </c>
      <c r="H32" s="190"/>
      <c r="I32" s="192" t="n">
        <f aca="false">SUM(I29:I29)</f>
        <v>80</v>
      </c>
      <c r="J32" s="193" t="n">
        <f aca="false">SUM(J29:J29)</f>
        <v>1212</v>
      </c>
      <c r="K32" s="305" t="n">
        <v>769</v>
      </c>
      <c r="L32" s="188" t="n">
        <f aca="false">SUM(L29:L29)</f>
        <v>74</v>
      </c>
      <c r="M32" s="193" t="n">
        <f aca="false">SUM(M29:M31)</f>
        <v>2121.87</v>
      </c>
      <c r="N32" s="306" t="n">
        <v>17500</v>
      </c>
      <c r="O32" s="290" t="n">
        <f aca="false">N32+K32+H32+E32</f>
        <v>19579</v>
      </c>
      <c r="P32" s="113" t="n">
        <f aca="false">(D32+G32+J32+M32)*0.085</f>
        <v>533.84675</v>
      </c>
      <c r="Q32" s="114" t="n">
        <f aca="false">(D32+E32+G32+H32+J32+K32+M32+N32)*0.05</f>
        <v>1292.9775</v>
      </c>
      <c r="R32" s="115" t="n">
        <f aca="false">SUM(R29:R31)</f>
        <v>7036.25</v>
      </c>
      <c r="S32" s="205" t="n">
        <f aca="false">SUM(O32:R32)</f>
        <v>28442.07425</v>
      </c>
      <c r="T32" s="189" t="n">
        <f aca="false">R32*U28</f>
        <v>3367.54925</v>
      </c>
      <c r="U32" s="193"/>
      <c r="V32" s="115" t="n">
        <f aca="false">R28-S32</f>
        <v>13357.92575</v>
      </c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5.75" hidden="false" customHeight="false" outlineLevel="0" collapsed="false">
      <c r="A33" s="80"/>
      <c r="B33" s="123"/>
      <c r="C33" s="124"/>
      <c r="D33" s="92"/>
      <c r="E33" s="125"/>
      <c r="F33" s="126"/>
      <c r="G33" s="92"/>
      <c r="H33" s="125"/>
      <c r="I33" s="128"/>
      <c r="J33" s="91"/>
      <c r="K33" s="129"/>
      <c r="L33" s="124"/>
      <c r="M33" s="91"/>
      <c r="N33" s="125"/>
      <c r="O33" s="293"/>
      <c r="P33" s="126"/>
      <c r="Q33" s="152"/>
      <c r="R33" s="130"/>
      <c r="S33" s="294"/>
      <c r="T33" s="92"/>
      <c r="U33" s="91"/>
      <c r="V33" s="13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false" outlineLevel="0" collapsed="false">
      <c r="A34" s="198" t="s">
        <v>147</v>
      </c>
      <c r="B34" s="199"/>
      <c r="C34" s="200"/>
      <c r="D34" s="117" t="n">
        <f aca="false">D24+D32</f>
        <v>5495.32</v>
      </c>
      <c r="E34" s="201" t="n">
        <f aca="false">E24+E32</f>
        <v>1310</v>
      </c>
      <c r="F34" s="202" t="n">
        <f aca="false">F24+F32</f>
        <v>397</v>
      </c>
      <c r="G34" s="117" t="n">
        <f aca="false">G24+G32</f>
        <v>5439.96</v>
      </c>
      <c r="H34" s="201" t="n">
        <f aca="false">H22+H32</f>
        <v>0</v>
      </c>
      <c r="I34" s="116" t="n">
        <f aca="false">I22+I32</f>
        <v>80</v>
      </c>
      <c r="J34" s="203" t="n">
        <f aca="false">J22+J32</f>
        <v>1212</v>
      </c>
      <c r="K34" s="204" t="n">
        <f aca="false">K22+K32</f>
        <v>769</v>
      </c>
      <c r="L34" s="205" t="n">
        <f aca="false">L22+L32</f>
        <v>113</v>
      </c>
      <c r="M34" s="203" t="n">
        <f aca="false">M22+M32</f>
        <v>2795.29</v>
      </c>
      <c r="N34" s="201" t="n">
        <f aca="false">N22+N32</f>
        <v>17500</v>
      </c>
      <c r="O34" s="202" t="n">
        <f aca="false">O24+O32</f>
        <v>19579</v>
      </c>
      <c r="P34" s="202" t="n">
        <f aca="false">P24+P32</f>
        <v>1435.5939</v>
      </c>
      <c r="Q34" s="117" t="n">
        <f aca="false">Q24+Q32</f>
        <v>1823.417</v>
      </c>
      <c r="R34" s="115" t="n">
        <f aca="false">R24+R32</f>
        <v>18835.84</v>
      </c>
      <c r="S34" s="205" t="n">
        <f aca="false">S24+S32</f>
        <v>41673.8509</v>
      </c>
      <c r="T34" s="117" t="n">
        <f aca="false">T24+T32</f>
        <v>9014.833024</v>
      </c>
      <c r="U34" s="203" t="n">
        <f aca="false">U24+U32</f>
        <v>0</v>
      </c>
      <c r="V34" s="115" t="n">
        <f aca="false">V24+V32</f>
        <v>10576.1491</v>
      </c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.75" hidden="false" customHeight="false" outlineLevel="0" collapsed="false">
      <c r="A35" s="80"/>
      <c r="B35" s="123"/>
      <c r="C35" s="124"/>
      <c r="D35" s="92"/>
      <c r="E35" s="125"/>
      <c r="F35" s="126"/>
      <c r="G35" s="92"/>
      <c r="H35" s="125"/>
      <c r="I35" s="128"/>
      <c r="J35" s="91"/>
      <c r="K35" s="129"/>
      <c r="L35" s="124"/>
      <c r="M35" s="91"/>
      <c r="N35" s="125"/>
      <c r="O35" s="293"/>
      <c r="P35" s="126"/>
      <c r="Q35" s="91"/>
      <c r="R35" s="130"/>
      <c r="S35" s="294" t="n">
        <f aca="false">SUM(O34:R34)</f>
        <v>41673.8509</v>
      </c>
      <c r="T35" s="92"/>
      <c r="U35" s="91"/>
      <c r="V35" s="13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.75" hidden="false" customHeight="false" outlineLevel="0" collapsed="false">
      <c r="A36" s="206" t="s">
        <v>148</v>
      </c>
      <c r="B36" s="207"/>
      <c r="C36" s="208" t="n">
        <v>250</v>
      </c>
      <c r="D36" s="209"/>
      <c r="E36" s="210"/>
      <c r="F36" s="211" t="n">
        <v>250</v>
      </c>
      <c r="G36" s="209"/>
      <c r="H36" s="210"/>
      <c r="I36" s="212" t="n">
        <v>250</v>
      </c>
      <c r="J36" s="213"/>
      <c r="K36" s="214"/>
      <c r="L36" s="208" t="n">
        <v>250</v>
      </c>
      <c r="M36" s="213"/>
      <c r="N36" s="210"/>
      <c r="O36" s="307"/>
      <c r="P36" s="211" t="n">
        <f aca="false">(D36+G36+J36+M36)*0.085</f>
        <v>0</v>
      </c>
      <c r="Q36" s="215" t="n">
        <f aca="false">(D36+E36+G36+H36+J36+K36+M36+N36)*0.05</f>
        <v>0</v>
      </c>
      <c r="R36" s="216" t="n">
        <f aca="false">SUM(C34:M34)</f>
        <v>17611.57</v>
      </c>
      <c r="S36" s="308"/>
      <c r="T36" s="209" t="n">
        <v>1000</v>
      </c>
      <c r="U36" s="218" t="n">
        <v>1</v>
      </c>
      <c r="V36" s="216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.75" hidden="false" customHeight="false" outlineLevel="0" collapsed="false">
      <c r="A37" s="206" t="s">
        <v>142</v>
      </c>
      <c r="B37" s="207"/>
      <c r="C37" s="208" t="n">
        <v>18</v>
      </c>
      <c r="D37" s="209" t="n">
        <f aca="false">C37*12.56</f>
        <v>226.08</v>
      </c>
      <c r="E37" s="210"/>
      <c r="F37" s="219" t="n">
        <v>12</v>
      </c>
      <c r="G37" s="209" t="n">
        <f aca="false">F37*12.56</f>
        <v>150.72</v>
      </c>
      <c r="H37" s="210"/>
      <c r="I37" s="212"/>
      <c r="J37" s="213"/>
      <c r="K37" s="214"/>
      <c r="L37" s="208"/>
      <c r="M37" s="213"/>
      <c r="N37" s="210"/>
      <c r="O37" s="307"/>
      <c r="P37" s="211"/>
      <c r="Q37" s="215"/>
      <c r="R37" s="216"/>
      <c r="S37" s="308"/>
      <c r="T37" s="209"/>
      <c r="U37" s="218"/>
      <c r="V37" s="216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6.5" hidden="false" customHeight="false" outlineLevel="0" collapsed="false">
      <c r="A38" s="80"/>
      <c r="B38" s="123"/>
      <c r="C38" s="124"/>
      <c r="D38" s="92"/>
      <c r="E38" s="125"/>
      <c r="F38" s="126"/>
      <c r="G38" s="92"/>
      <c r="H38" s="125"/>
      <c r="I38" s="128"/>
      <c r="J38" s="91"/>
      <c r="K38" s="129"/>
      <c r="L38" s="124"/>
      <c r="M38" s="91"/>
      <c r="N38" s="125"/>
      <c r="O38" s="293"/>
      <c r="P38" s="126"/>
      <c r="Q38" s="91"/>
      <c r="R38" s="163"/>
      <c r="S38" s="124"/>
      <c r="T38" s="152"/>
      <c r="U38" s="91"/>
      <c r="V38" s="13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31.5" hidden="false" customHeight="true" outlineLevel="0" collapsed="false">
      <c r="A39" s="220" t="s">
        <v>149</v>
      </c>
      <c r="B39" s="221"/>
      <c r="C39" s="222" t="n">
        <v>18250</v>
      </c>
      <c r="D39" s="223"/>
      <c r="E39" s="224"/>
      <c r="F39" s="225" t="n">
        <v>18250</v>
      </c>
      <c r="G39" s="223"/>
      <c r="H39" s="224"/>
      <c r="I39" s="226" t="n">
        <v>18250</v>
      </c>
      <c r="J39" s="227"/>
      <c r="K39" s="228"/>
      <c r="L39" s="222" t="n">
        <v>18420</v>
      </c>
      <c r="M39" s="227"/>
      <c r="N39" s="224"/>
      <c r="O39" s="309"/>
      <c r="P39" s="225"/>
      <c r="Q39" s="87" t="s">
        <v>167</v>
      </c>
      <c r="R39" s="229" t="n">
        <v>91000</v>
      </c>
      <c r="S39" s="310"/>
      <c r="T39" s="223" t="n">
        <f aca="false">R39*U39</f>
        <v>43552.6</v>
      </c>
      <c r="U39" s="231" t="n">
        <v>0.4786</v>
      </c>
      <c r="V39" s="229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.75" hidden="false" customHeight="false" outlineLevel="0" collapsed="false">
      <c r="A40" s="220" t="s">
        <v>146</v>
      </c>
      <c r="B40" s="221"/>
      <c r="C40" s="222" t="n">
        <v>141</v>
      </c>
      <c r="D40" s="117" t="n">
        <f aca="false">C40*16.28</f>
        <v>2295.48</v>
      </c>
      <c r="E40" s="229"/>
      <c r="F40" s="232" t="n">
        <v>67</v>
      </c>
      <c r="G40" s="117" t="n">
        <f aca="false">F40*16.28</f>
        <v>1090.76</v>
      </c>
      <c r="H40" s="224"/>
      <c r="I40" s="226" t="n">
        <v>60.5</v>
      </c>
      <c r="J40" s="100" t="n">
        <v>895.24</v>
      </c>
      <c r="K40" s="228"/>
      <c r="L40" s="222" t="n">
        <f aca="false">35+35+48</f>
        <v>118</v>
      </c>
      <c r="M40" s="100" t="n">
        <v>1805.1</v>
      </c>
      <c r="N40" s="224"/>
      <c r="O40" s="309"/>
      <c r="P40" s="225"/>
      <c r="Q40" s="227"/>
      <c r="R40" s="229" t="n">
        <f aca="false">D40+E40+G40+H40+J40+M40+N40</f>
        <v>6086.58</v>
      </c>
      <c r="S40" s="310"/>
      <c r="T40" s="223"/>
      <c r="U40" s="227"/>
      <c r="V40" s="229"/>
      <c r="W40" s="301" t="n">
        <f aca="false">M40/L40</f>
        <v>15.2974576271186</v>
      </c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.75" hidden="false" customHeight="false" outlineLevel="0" collapsed="false">
      <c r="A41" s="220" t="s">
        <v>173</v>
      </c>
      <c r="B41" s="221"/>
      <c r="C41" s="222" t="n">
        <v>45</v>
      </c>
      <c r="D41" s="117" t="n">
        <f aca="false">C41*12.67</f>
        <v>570.15</v>
      </c>
      <c r="E41" s="229"/>
      <c r="F41" s="232" t="n">
        <v>45</v>
      </c>
      <c r="G41" s="117" t="n">
        <f aca="false">F41*12.67</f>
        <v>570.15</v>
      </c>
      <c r="H41" s="224"/>
      <c r="I41" s="226"/>
      <c r="J41" s="227"/>
      <c r="K41" s="228"/>
      <c r="L41" s="222" t="n">
        <f aca="false">30+14</f>
        <v>44</v>
      </c>
      <c r="M41" s="100" t="n">
        <v>740.49</v>
      </c>
      <c r="N41" s="224"/>
      <c r="O41" s="309"/>
      <c r="P41" s="225"/>
      <c r="Q41" s="227"/>
      <c r="R41" s="229" t="n">
        <f aca="false">D41+E41+G41+H41+J41+K41+M41+N41</f>
        <v>1880.79</v>
      </c>
      <c r="S41" s="310"/>
      <c r="T41" s="223"/>
      <c r="U41" s="227"/>
      <c r="V41" s="229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.75" hidden="false" customHeight="false" outlineLevel="0" collapsed="false">
      <c r="A42" s="220"/>
      <c r="B42" s="221"/>
      <c r="C42" s="222" t="n">
        <f aca="false">SUM(C40:C40)</f>
        <v>141</v>
      </c>
      <c r="D42" s="223" t="n">
        <f aca="false">SUM(D40:D41)</f>
        <v>2865.63</v>
      </c>
      <c r="E42" s="117" t="n">
        <v>3273</v>
      </c>
      <c r="F42" s="223" t="n">
        <f aca="false">SUM(F40:F41)</f>
        <v>112</v>
      </c>
      <c r="G42" s="223" t="n">
        <f aca="false">SUM(G40:G41)</f>
        <v>1660.91</v>
      </c>
      <c r="H42" s="201" t="n">
        <f aca="false">965.95+1539.29+6311.8+2703.6+308+1200+1000+793.44+647+297.4</f>
        <v>15766.48</v>
      </c>
      <c r="I42" s="223" t="n">
        <f aca="false">SUM(I40:I41)</f>
        <v>60.5</v>
      </c>
      <c r="J42" s="223" t="n">
        <f aca="false">SUM(J40:J41)</f>
        <v>895.24</v>
      </c>
      <c r="K42" s="204" t="n">
        <f aca="false">(1029.6+670.33+5935.1)</f>
        <v>7635.03</v>
      </c>
      <c r="L42" s="223" t="n">
        <f aca="false">SUM(L40:L41)</f>
        <v>162</v>
      </c>
      <c r="M42" s="223" t="n">
        <f aca="false">SUM(M40:M41)</f>
        <v>2545.59</v>
      </c>
      <c r="N42" s="223" t="n">
        <f aca="false">70148-800</f>
        <v>69348</v>
      </c>
      <c r="O42" s="290" t="n">
        <f aca="false">N42+K42+H42+E42</f>
        <v>96022.51</v>
      </c>
      <c r="P42" s="225" t="n">
        <f aca="false">(D42+G42+J42+M42)*0.085</f>
        <v>677.22645</v>
      </c>
      <c r="Q42" s="233" t="n">
        <f aca="false">(D42+E42+G42+H42+J42+K42+M42+N42)*0.05</f>
        <v>5199.494</v>
      </c>
      <c r="R42" s="229" t="n">
        <f aca="false">SUM(R40:R41)</f>
        <v>7967.37</v>
      </c>
      <c r="S42" s="205" t="n">
        <f aca="false">SUM(O42:R42)</f>
        <v>109866.60045</v>
      </c>
      <c r="T42" s="223" t="n">
        <f aca="false">R42*U39</f>
        <v>3813.183282</v>
      </c>
      <c r="U42" s="227"/>
      <c r="V42" s="115" t="n">
        <f aca="false">R39-S42</f>
        <v>-18866.60045</v>
      </c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5.75" hidden="false" customHeight="false" outlineLevel="0" collapsed="false">
      <c r="A43" s="220"/>
      <c r="B43" s="221"/>
      <c r="C43" s="222"/>
      <c r="D43" s="223"/>
      <c r="E43" s="229"/>
      <c r="F43" s="232"/>
      <c r="G43" s="223"/>
      <c r="H43" s="224"/>
      <c r="I43" s="226"/>
      <c r="J43" s="227"/>
      <c r="K43" s="228"/>
      <c r="L43" s="119" t="n">
        <v>0.05</v>
      </c>
      <c r="M43" s="120" t="n">
        <f aca="false">(M42+N42)*L43</f>
        <v>3594.6795</v>
      </c>
      <c r="N43" s="224"/>
      <c r="O43" s="309"/>
      <c r="P43" s="225"/>
      <c r="Q43" s="233"/>
      <c r="R43" s="229"/>
      <c r="S43" s="205"/>
      <c r="T43" s="223"/>
      <c r="U43" s="227"/>
      <c r="V43" s="115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6.5" hidden="false" customHeight="false" outlineLevel="0" collapsed="false">
      <c r="A44" s="80"/>
      <c r="B44" s="123"/>
      <c r="C44" s="124"/>
      <c r="D44" s="92"/>
      <c r="E44" s="163"/>
      <c r="F44" s="126"/>
      <c r="G44" s="162"/>
      <c r="H44" s="234"/>
      <c r="I44" s="128"/>
      <c r="J44" s="91"/>
      <c r="K44" s="129"/>
      <c r="L44" s="122" t="n">
        <v>0.085</v>
      </c>
      <c r="M44" s="120" t="n">
        <f aca="false">M42*L44</f>
        <v>216.37515</v>
      </c>
      <c r="N44" s="125"/>
      <c r="O44" s="293"/>
      <c r="P44" s="126"/>
      <c r="Q44" s="152"/>
      <c r="R44" s="163"/>
      <c r="S44" s="124"/>
      <c r="T44" s="152"/>
      <c r="U44" s="91"/>
      <c r="V44" s="130"/>
      <c r="W44" s="301" t="n">
        <f aca="false">190*3</f>
        <v>570</v>
      </c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27" hidden="false" customHeight="true" outlineLevel="0" collapsed="false">
      <c r="A45" s="235" t="s">
        <v>31</v>
      </c>
      <c r="B45" s="236" t="n">
        <f aca="false">R45/130</f>
        <v>69.7547333569064</v>
      </c>
      <c r="C45" s="237" t="n">
        <f aca="false">R45/4</f>
        <v>2267.02883409946</v>
      </c>
      <c r="D45" s="238"/>
      <c r="E45" s="239"/>
      <c r="F45" s="240" t="n">
        <v>15875</v>
      </c>
      <c r="G45" s="238"/>
      <c r="H45" s="241"/>
      <c r="I45" s="242" t="n">
        <v>15875</v>
      </c>
      <c r="J45" s="243"/>
      <c r="K45" s="244"/>
      <c r="L45" s="245" t="n">
        <v>10450</v>
      </c>
      <c r="M45" s="243"/>
      <c r="N45" s="241"/>
      <c r="O45" s="311"/>
      <c r="P45" s="240"/>
      <c r="Q45" s="87" t="s">
        <v>167</v>
      </c>
      <c r="R45" s="247" t="n">
        <f aca="false">T45/U45</f>
        <v>9068.11533639783</v>
      </c>
      <c r="S45" s="312"/>
      <c r="T45" s="238" t="n">
        <v>4340</v>
      </c>
      <c r="U45" s="249" t="n">
        <v>0.4786</v>
      </c>
      <c r="V45" s="247"/>
      <c r="W45" s="301" t="n">
        <f aca="false">227+521+342</f>
        <v>1090</v>
      </c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5.75" hidden="false" customHeight="false" outlineLevel="0" collapsed="false">
      <c r="A46" s="235" t="s">
        <v>146</v>
      </c>
      <c r="B46" s="236"/>
      <c r="C46" s="245" t="n">
        <v>38</v>
      </c>
      <c r="D46" s="117" t="n">
        <f aca="false">65.21+374.45+179.08</f>
        <v>618.74</v>
      </c>
      <c r="E46" s="239"/>
      <c r="F46" s="250" t="n">
        <v>80</v>
      </c>
      <c r="G46" s="117" t="n">
        <f aca="false">F46*16.28</f>
        <v>1302.4</v>
      </c>
      <c r="H46" s="115" t="n">
        <v>2000</v>
      </c>
      <c r="I46" s="242" t="n">
        <v>25</v>
      </c>
      <c r="J46" s="243" t="n">
        <v>369.93</v>
      </c>
      <c r="K46" s="244"/>
      <c r="L46" s="245" t="n">
        <v>108.5</v>
      </c>
      <c r="M46" s="100" t="n">
        <v>1645.38</v>
      </c>
      <c r="N46" s="241" t="n">
        <v>800</v>
      </c>
      <c r="O46" s="311"/>
      <c r="P46" s="240"/>
      <c r="Q46" s="246"/>
      <c r="R46" s="229" t="n">
        <f aca="false">D46+E46+G46+H46+J46+K46+M46+N46</f>
        <v>6736.45</v>
      </c>
      <c r="S46" s="312"/>
      <c r="T46" s="238"/>
      <c r="U46" s="243"/>
      <c r="V46" s="247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5.75" hidden="false" customHeight="false" outlineLevel="0" collapsed="false">
      <c r="A47" s="235" t="s">
        <v>169</v>
      </c>
      <c r="B47" s="236"/>
      <c r="C47" s="245"/>
      <c r="D47" s="117"/>
      <c r="E47" s="239"/>
      <c r="F47" s="250"/>
      <c r="G47" s="238"/>
      <c r="H47" s="247"/>
      <c r="I47" s="242"/>
      <c r="J47" s="243"/>
      <c r="K47" s="244"/>
      <c r="L47" s="245" t="n">
        <v>10</v>
      </c>
      <c r="M47" s="100" t="n">
        <v>117.48</v>
      </c>
      <c r="N47" s="241"/>
      <c r="O47" s="311"/>
      <c r="P47" s="240"/>
      <c r="Q47" s="246"/>
      <c r="R47" s="229"/>
      <c r="S47" s="312"/>
      <c r="T47" s="238"/>
      <c r="U47" s="243"/>
      <c r="V47" s="247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5.75" hidden="false" customHeight="false" outlineLevel="0" collapsed="false">
      <c r="A48" s="235" t="s">
        <v>150</v>
      </c>
      <c r="B48" s="236" t="n">
        <f aca="false">(C48+F48)/7</f>
        <v>16.8571428571429</v>
      </c>
      <c r="C48" s="245" t="n">
        <f aca="false">SUM(C46:C46)</f>
        <v>38</v>
      </c>
      <c r="D48" s="238" t="n">
        <f aca="false">SUM(D46:D46)</f>
        <v>618.74</v>
      </c>
      <c r="E48" s="247" t="n">
        <f aca="false">SUM(E46:E46)</f>
        <v>0</v>
      </c>
      <c r="F48" s="250" t="n">
        <f aca="false">SUM(F46:F46)</f>
        <v>80</v>
      </c>
      <c r="G48" s="238" t="n">
        <f aca="false">SUM(G46:G46)</f>
        <v>1302.4</v>
      </c>
      <c r="H48" s="247" t="n">
        <f aca="false">SUM(H46:H46)</f>
        <v>2000</v>
      </c>
      <c r="I48" s="251" t="n">
        <f aca="false">SUM(I46:I46)</f>
        <v>25</v>
      </c>
      <c r="J48" s="238" t="n">
        <f aca="false">SUM(J46:J46)</f>
        <v>369.93</v>
      </c>
      <c r="K48" s="252" t="n">
        <f aca="false">SUM(K46:K46)</f>
        <v>0</v>
      </c>
      <c r="L48" s="313" t="n">
        <f aca="false">SUM(L46:L47)</f>
        <v>118.5</v>
      </c>
      <c r="M48" s="313" t="n">
        <f aca="false">SUM(M46:M47)</f>
        <v>1762.86</v>
      </c>
      <c r="N48" s="313" t="n">
        <f aca="false">SUM(N46:N47)</f>
        <v>800</v>
      </c>
      <c r="O48" s="290" t="n">
        <f aca="false">E48+H48+K48+N48</f>
        <v>2800</v>
      </c>
      <c r="P48" s="240" t="n">
        <f aca="false">(D48+G48+J48+M48)*0.085</f>
        <v>344.58405</v>
      </c>
      <c r="Q48" s="246" t="n">
        <f aca="false">(D48+E48+G48+H48+J48+K48+M48+N48)*0.05</f>
        <v>342.6965</v>
      </c>
      <c r="R48" s="247" t="n">
        <f aca="false">SUM(R46:R46)</f>
        <v>6736.45</v>
      </c>
      <c r="S48" s="205" t="n">
        <f aca="false">SUM(O48:R48)</f>
        <v>10223.73055</v>
      </c>
      <c r="T48" s="238" t="n">
        <f aca="false">S48*U45</f>
        <v>4893.07744123</v>
      </c>
      <c r="U48" s="243"/>
      <c r="V48" s="115" t="n">
        <f aca="false">R45-S48</f>
        <v>-1155.61521360217</v>
      </c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5.75" hidden="false" customHeight="false" outlineLevel="0" collapsed="false">
      <c r="A49" s="235" t="s">
        <v>151</v>
      </c>
      <c r="B49" s="236" t="n">
        <f aca="false">B45-B48</f>
        <v>52.8975904997635</v>
      </c>
      <c r="C49" s="240"/>
      <c r="D49" s="246"/>
      <c r="E49" s="239"/>
      <c r="F49" s="240"/>
      <c r="G49" s="238"/>
      <c r="H49" s="247"/>
      <c r="I49" s="242"/>
      <c r="J49" s="243"/>
      <c r="K49" s="244"/>
      <c r="L49" s="245"/>
      <c r="M49" s="243"/>
      <c r="N49" s="241"/>
      <c r="O49" s="0"/>
      <c r="P49" s="240" t="s">
        <v>5</v>
      </c>
      <c r="Q49" s="254" t="s">
        <v>5</v>
      </c>
      <c r="R49" s="239" t="s">
        <v>5</v>
      </c>
      <c r="S49" s="237" t="s">
        <v>5</v>
      </c>
      <c r="T49" s="238"/>
      <c r="U49" s="243"/>
      <c r="V49" s="247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5.75" hidden="false" customHeight="false" outlineLevel="0" collapsed="false">
      <c r="A50" s="235"/>
      <c r="B50" s="236"/>
      <c r="C50" s="119" t="n">
        <v>0.05</v>
      </c>
      <c r="D50" s="114" t="n">
        <f aca="false">(D48+E48)*C50</f>
        <v>30.937</v>
      </c>
      <c r="E50" s="239"/>
      <c r="F50" s="119" t="n">
        <v>0.05</v>
      </c>
      <c r="G50" s="114" t="n">
        <f aca="false">(G48+H48)*F50</f>
        <v>165.12</v>
      </c>
      <c r="H50" s="0"/>
      <c r="I50" s="119" t="n">
        <v>0.05</v>
      </c>
      <c r="J50" s="114" t="n">
        <f aca="false">(J48+K48)*I50</f>
        <v>18.4965</v>
      </c>
      <c r="K50" s="244"/>
      <c r="L50" s="119" t="n">
        <v>0.05</v>
      </c>
      <c r="M50" s="114" t="n">
        <f aca="false">(M48+N48)*L50</f>
        <v>128.143</v>
      </c>
      <c r="N50" s="241"/>
      <c r="O50" s="311"/>
      <c r="P50" s="240"/>
      <c r="Q50" s="254"/>
      <c r="R50" s="239"/>
      <c r="S50" s="237"/>
      <c r="T50" s="238"/>
      <c r="U50" s="243"/>
      <c r="V50" s="247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s="301" customFormat="true" ht="15.75" hidden="false" customHeight="false" outlineLevel="0" collapsed="false">
      <c r="A51" s="235"/>
      <c r="B51" s="236"/>
      <c r="C51" s="122" t="n">
        <v>0.085</v>
      </c>
      <c r="D51" s="258" t="n">
        <f aca="false">D48*C51</f>
        <v>52.5929</v>
      </c>
      <c r="E51" s="239"/>
      <c r="F51" s="122" t="n">
        <v>0.085</v>
      </c>
      <c r="G51" s="258" t="n">
        <f aca="false">G48*F51</f>
        <v>110.704</v>
      </c>
      <c r="I51" s="122" t="n">
        <v>0.085</v>
      </c>
      <c r="J51" s="258" t="n">
        <f aca="false">J48*I51</f>
        <v>31.44405</v>
      </c>
      <c r="K51" s="244"/>
      <c r="L51" s="122" t="n">
        <v>0.085</v>
      </c>
      <c r="M51" s="258" t="n">
        <f aca="false">M48*L51</f>
        <v>149.8431</v>
      </c>
      <c r="N51" s="241"/>
      <c r="O51" s="311"/>
      <c r="P51" s="240"/>
      <c r="Q51" s="254"/>
      <c r="R51" s="239"/>
      <c r="S51" s="237"/>
      <c r="T51" s="238"/>
      <c r="U51" s="243"/>
      <c r="V51" s="247"/>
    </row>
    <row r="52" s="326" customFormat="true" ht="15.75" hidden="false" customHeight="false" outlineLevel="0" collapsed="false">
      <c r="A52" s="314" t="s">
        <v>174</v>
      </c>
      <c r="B52" s="315"/>
      <c r="C52" s="316"/>
      <c r="D52" s="317" t="n">
        <f aca="false">D42+D48+D50+D51</f>
        <v>3567.8999</v>
      </c>
      <c r="E52" s="317" t="n">
        <f aca="false">E42+E48+E50+E51</f>
        <v>3273</v>
      </c>
      <c r="F52" s="318"/>
      <c r="G52" s="317" t="n">
        <f aca="false">G42+G48+F50+F51</f>
        <v>2963.445</v>
      </c>
      <c r="H52" s="317" t="n">
        <f aca="false">H42+H48+G50+G51</f>
        <v>18042.304</v>
      </c>
      <c r="I52" s="319"/>
      <c r="J52" s="320"/>
      <c r="K52" s="321"/>
      <c r="L52" s="322"/>
      <c r="M52" s="320"/>
      <c r="N52" s="323"/>
      <c r="O52" s="317"/>
      <c r="P52" s="317" t="n">
        <f aca="false">P42+P48+O50+O51</f>
        <v>1021.8105</v>
      </c>
      <c r="Q52" s="317" t="n">
        <f aca="false">Q42+Q48+P50+P51</f>
        <v>5542.1905</v>
      </c>
      <c r="R52" s="317" t="n">
        <f aca="false">R42+R48+Q50+Q51</f>
        <v>14703.82</v>
      </c>
      <c r="S52" s="317" t="n">
        <f aca="false">S42+S48+R50+R51</f>
        <v>120090.331</v>
      </c>
      <c r="T52" s="324"/>
      <c r="U52" s="320"/>
      <c r="V52" s="325"/>
    </row>
    <row r="53" s="301" customFormat="true" ht="15.75" hidden="false" customHeight="false" outlineLevel="0" collapsed="false">
      <c r="A53" s="80" t="s">
        <v>175</v>
      </c>
      <c r="B53" s="129"/>
      <c r="C53" s="124"/>
      <c r="D53" s="92"/>
      <c r="E53" s="125"/>
      <c r="F53" s="126"/>
      <c r="G53" s="92"/>
      <c r="H53" s="125"/>
      <c r="I53" s="128"/>
      <c r="J53" s="91"/>
      <c r="K53" s="129"/>
      <c r="L53" s="327" t="n">
        <f aca="false">M44+M51</f>
        <v>366.21825</v>
      </c>
      <c r="M53" s="152" t="n">
        <f aca="false">+M50+M43</f>
        <v>3722.8225</v>
      </c>
      <c r="N53" s="125"/>
      <c r="O53" s="126" t="n">
        <f aca="false">+O42+O32+O24+O16+O7</f>
        <v>116772.51</v>
      </c>
      <c r="P53" s="126" t="n">
        <f aca="false">P48+P42+P32+P24+P16+P7</f>
        <v>2970.2196</v>
      </c>
      <c r="Q53" s="152" t="n">
        <f aca="false">Q48+Q42+Q32+Q24+Q16+Q7</f>
        <v>7725.8135</v>
      </c>
      <c r="R53" s="163" t="n">
        <f aca="false">R48+R42+R32+R24+R16+R7</f>
        <v>39572.78</v>
      </c>
      <c r="S53" s="124"/>
      <c r="T53" s="152"/>
      <c r="U53" s="91"/>
      <c r="V53" s="130"/>
    </row>
    <row r="54" customFormat="false" ht="15.75" hidden="false" customHeight="false" outlineLevel="0" collapsed="false">
      <c r="A54" s="80"/>
      <c r="B54" s="129"/>
      <c r="C54" s="124"/>
      <c r="D54" s="92"/>
      <c r="E54" s="125"/>
      <c r="F54" s="126"/>
      <c r="G54" s="92"/>
      <c r="H54" s="125"/>
      <c r="I54" s="128"/>
      <c r="J54" s="91"/>
      <c r="K54" s="129"/>
      <c r="L54" s="124"/>
      <c r="M54" s="91"/>
      <c r="N54" s="125"/>
      <c r="O54" s="293"/>
      <c r="P54" s="124" t="s">
        <v>153</v>
      </c>
      <c r="Q54" s="114" t="n">
        <f aca="false">P53+Q53</f>
        <v>10696.0331</v>
      </c>
      <c r="R54" s="257" t="n">
        <f aca="false">R53+Q54</f>
        <v>50268.8131</v>
      </c>
      <c r="S54" s="124"/>
      <c r="T54" s="152"/>
      <c r="U54" s="91"/>
      <c r="V54" s="130"/>
    </row>
    <row r="55" customFormat="false" ht="15.75" hidden="false" customHeight="false" outlineLevel="0" collapsed="false">
      <c r="A55" s="80"/>
      <c r="B55" s="129"/>
      <c r="C55" s="124" t="s">
        <v>154</v>
      </c>
      <c r="D55" s="92" t="s">
        <v>155</v>
      </c>
      <c r="E55" s="125"/>
      <c r="F55" s="126"/>
      <c r="G55" s="92"/>
      <c r="H55" s="125"/>
      <c r="I55" s="128"/>
      <c r="J55" s="91"/>
      <c r="K55" s="129"/>
      <c r="L55" s="124"/>
      <c r="M55" s="91"/>
      <c r="N55" s="125"/>
      <c r="O55" s="293"/>
      <c r="P55" s="124"/>
      <c r="Q55" s="91"/>
      <c r="R55" s="163"/>
      <c r="S55" s="124"/>
      <c r="T55" s="152"/>
      <c r="U55" s="91"/>
      <c r="V55" s="130"/>
    </row>
    <row r="56" customFormat="false" ht="15.75" hidden="false" customHeight="false" outlineLevel="0" collapsed="false">
      <c r="A56" s="80" t="s">
        <v>156</v>
      </c>
      <c r="B56" s="123" t="n">
        <f aca="false">B20+B11+B3</f>
        <v>183.5</v>
      </c>
      <c r="C56" s="261" t="n">
        <f aca="false">(C5+F5+C12+F12+C21+F21)/7</f>
        <v>99.1428571428571</v>
      </c>
      <c r="D56" s="262" t="n">
        <f aca="false">B56-C56</f>
        <v>84.3571428571429</v>
      </c>
      <c r="E56" s="125"/>
      <c r="F56" s="126"/>
      <c r="G56" s="92"/>
      <c r="H56" s="125"/>
      <c r="I56" s="128"/>
      <c r="J56" s="91"/>
      <c r="K56" s="129"/>
      <c r="L56" s="124"/>
      <c r="M56" s="91"/>
      <c r="N56" s="125"/>
      <c r="O56" s="293"/>
      <c r="P56" s="263" t="s">
        <v>157</v>
      </c>
      <c r="Q56" s="264"/>
      <c r="R56" s="163" t="n">
        <f aca="false">R3+R11+R20+R28+R39+R45</f>
        <v>160218.115336398</v>
      </c>
      <c r="S56" s="124"/>
      <c r="T56" s="152"/>
      <c r="U56" s="91"/>
      <c r="V56" s="130"/>
    </row>
    <row r="57" customFormat="false" ht="15.75" hidden="false" customHeight="false" outlineLevel="0" collapsed="false">
      <c r="A57" s="80" t="s">
        <v>158</v>
      </c>
      <c r="B57" s="123" t="n">
        <f aca="false">B45</f>
        <v>69.7547333569064</v>
      </c>
      <c r="C57" s="261" t="n">
        <f aca="false">(C40+F40+C46+F46)/7</f>
        <v>46.5714285714286</v>
      </c>
      <c r="D57" s="262" t="n">
        <f aca="false">B57-C57</f>
        <v>23.1833047854778</v>
      </c>
      <c r="E57" s="125"/>
      <c r="F57" s="126"/>
      <c r="G57" s="92"/>
      <c r="H57" s="125"/>
      <c r="I57" s="128"/>
      <c r="J57" s="91"/>
      <c r="K57" s="129"/>
      <c r="L57" s="124"/>
      <c r="M57" s="91"/>
      <c r="N57" s="125"/>
      <c r="O57" s="293"/>
      <c r="P57" s="263" t="s">
        <v>159</v>
      </c>
      <c r="Q57" s="91"/>
      <c r="R57" s="163" t="n">
        <f aca="false">R39+R45</f>
        <v>100068.115336398</v>
      </c>
      <c r="S57" s="268" t="n">
        <f aca="false">S42+S48</f>
        <v>120090.331</v>
      </c>
      <c r="T57" s="152" t="n">
        <f aca="false">R57-S57</f>
        <v>-20022.2156636022</v>
      </c>
      <c r="U57" s="91"/>
      <c r="V57" s="115" t="n">
        <f aca="false">V42+V48</f>
        <v>-20022.2156636022</v>
      </c>
    </row>
    <row r="58" customFormat="false" ht="15.75" hidden="false" customHeight="false" outlineLevel="0" collapsed="false">
      <c r="A58" s="266" t="s">
        <v>160</v>
      </c>
      <c r="B58" s="123" t="n">
        <f aca="false">B28</f>
        <v>321.538461538462</v>
      </c>
      <c r="C58" s="124"/>
      <c r="D58" s="92"/>
      <c r="E58" s="125"/>
      <c r="F58" s="126"/>
      <c r="G58" s="92"/>
      <c r="H58" s="267"/>
      <c r="I58" s="265"/>
      <c r="J58" s="91"/>
      <c r="K58" s="129"/>
      <c r="L58" s="124"/>
      <c r="M58" s="91"/>
      <c r="N58" s="125"/>
      <c r="O58" s="293"/>
      <c r="P58" s="263" t="s">
        <v>161</v>
      </c>
      <c r="Q58" s="264"/>
      <c r="R58" s="163" t="n">
        <f aca="false">R56-R57</f>
        <v>60150</v>
      </c>
      <c r="S58" s="124"/>
      <c r="T58" s="152"/>
      <c r="U58" s="91"/>
      <c r="V58" s="130"/>
    </row>
    <row r="59" customFormat="false" ht="15.75" hidden="false" customHeight="false" outlineLevel="0" collapsed="false">
      <c r="A59" s="80"/>
      <c r="B59" s="129"/>
      <c r="C59" s="268"/>
      <c r="D59" s="92"/>
      <c r="E59" s="125"/>
      <c r="F59" s="126"/>
      <c r="G59" s="92"/>
      <c r="H59" s="269"/>
      <c r="I59" s="265"/>
      <c r="J59" s="91"/>
      <c r="K59" s="129"/>
      <c r="L59" s="124"/>
      <c r="M59" s="91"/>
      <c r="N59" s="125"/>
      <c r="O59" s="293"/>
      <c r="P59" s="124" t="s">
        <v>162</v>
      </c>
      <c r="Q59" s="91"/>
      <c r="R59" s="115" t="n">
        <f aca="false">S48+S42+S32+S24+S16+S7</f>
        <v>169841.3231</v>
      </c>
      <c r="S59" s="328" t="n">
        <f aca="false">R59/R58</f>
        <v>2.82362964422278</v>
      </c>
      <c r="T59" s="152"/>
      <c r="U59" s="91"/>
      <c r="V59" s="130"/>
    </row>
    <row r="60" customFormat="false" ht="16.5" hidden="false" customHeight="false" outlineLevel="0" collapsed="false">
      <c r="A60" s="80" t="s">
        <v>163</v>
      </c>
      <c r="B60" s="129" t="n">
        <v>251</v>
      </c>
      <c r="C60" s="124" t="s">
        <v>155</v>
      </c>
      <c r="D60" s="92"/>
      <c r="E60" s="125"/>
      <c r="F60" s="271"/>
      <c r="G60" s="272"/>
      <c r="H60" s="273"/>
      <c r="I60" s="274"/>
      <c r="J60" s="275"/>
      <c r="K60" s="276"/>
      <c r="L60" s="277"/>
      <c r="M60" s="275"/>
      <c r="N60" s="273"/>
      <c r="O60" s="329"/>
      <c r="P60" s="278" t="s">
        <v>164</v>
      </c>
      <c r="Q60" s="275"/>
      <c r="R60" s="279" t="n">
        <f aca="false">R58-R59</f>
        <v>-109691.3231</v>
      </c>
      <c r="S60" s="330" t="n">
        <f aca="false">R60/R58</f>
        <v>-1.82362964422278</v>
      </c>
      <c r="T60" s="331"/>
      <c r="U60" s="275"/>
      <c r="V60" s="332"/>
    </row>
    <row r="61" customFormat="false" ht="15.75" hidden="false" customHeight="false" outlineLevel="0" collapsed="false">
      <c r="A61" s="80" t="s">
        <v>165</v>
      </c>
      <c r="B61" s="129" t="n">
        <v>30</v>
      </c>
      <c r="C61" s="261" t="n">
        <f aca="false">B62-B56</f>
        <v>37.5</v>
      </c>
      <c r="D61" s="92"/>
      <c r="E61" s="234"/>
      <c r="F61" s="333"/>
      <c r="G61" s="334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333"/>
      <c r="S61" s="162"/>
      <c r="T61" s="333"/>
      <c r="U61" s="162"/>
      <c r="V61" s="334"/>
    </row>
    <row r="62" customFormat="false" ht="16.5" hidden="false" customHeight="false" outlineLevel="0" collapsed="false">
      <c r="A62" s="80" t="s">
        <v>155</v>
      </c>
      <c r="B62" s="129" t="n">
        <v>221</v>
      </c>
      <c r="C62" s="280" t="n">
        <f aca="false">B62-B57</f>
        <v>151.245266643094</v>
      </c>
      <c r="D62" s="272"/>
      <c r="E62" s="281"/>
      <c r="F62" s="333"/>
      <c r="G62" s="334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333"/>
      <c r="S62" s="162"/>
      <c r="T62" s="333"/>
      <c r="U62" s="162"/>
      <c r="V62" s="334"/>
    </row>
  </sheetData>
  <mergeCells count="4">
    <mergeCell ref="C1:D1"/>
    <mergeCell ref="F1:G1"/>
    <mergeCell ref="I1:J1"/>
    <mergeCell ref="L1:M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4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82" zoomScaleNormal="82" zoomScalePageLayoutView="100" workbookViewId="0">
      <pane xSplit="0" ySplit="7" topLeftCell="A8" activePane="bottomLeft" state="frozen"/>
      <selection pane="topLeft" activeCell="A1" activeCellId="0" sqref="A1"/>
      <selection pane="bottomLeft" activeCell="Z34" activeCellId="0" sqref="Z34"/>
    </sheetView>
  </sheetViews>
  <sheetFormatPr defaultRowHeight="15.75"/>
  <cols>
    <col collapsed="false" hidden="false" max="1" min="1" style="76" width="17.1428571428571"/>
    <col collapsed="false" hidden="false" max="2" min="2" style="78" width="11.2040816326531"/>
    <col collapsed="false" hidden="false" max="3" min="3" style="77" width="12.5561224489796"/>
    <col collapsed="false" hidden="false" max="4" min="4" style="79" width="13.0918367346939"/>
    <col collapsed="false" hidden="false" max="5" min="5" style="78" width="10.8010204081633"/>
    <col collapsed="false" hidden="false" max="6" min="6" style="77" width="13.6326530612245"/>
    <col collapsed="false" hidden="false" max="7" min="7" style="77" width="9.71938775510204"/>
    <col collapsed="false" hidden="false" max="9" min="8" style="77" width="12.5561224489796"/>
    <col collapsed="false" hidden="false" max="11" min="10" style="77" width="12.1479591836735"/>
    <col collapsed="false" hidden="false" max="12" min="12" style="77" width="14.1734693877551"/>
    <col collapsed="false" hidden="false" max="13" min="13" style="335" width="13.6326530612245"/>
    <col collapsed="false" hidden="false" max="14" min="14" style="336" width="12.5561224489796"/>
    <col collapsed="false" hidden="false" max="15" min="15" style="335" width="11.7448979591837"/>
    <col collapsed="false" hidden="false" max="16" min="16" style="337" width="12.5561224489796"/>
    <col collapsed="false" hidden="false" max="17" min="17" style="77" width="14.8469387755102"/>
    <col collapsed="false" hidden="false" max="18" min="18" style="79" width="12.4183673469388"/>
    <col collapsed="false" hidden="false" max="19" min="19" style="77" width="7.4234693877551"/>
    <col collapsed="false" hidden="false" max="20" min="20" style="78" width="10.8010204081633"/>
    <col collapsed="false" hidden="false" max="21" min="21" style="76" width="30.780612244898"/>
    <col collapsed="false" hidden="false" max="22" min="22" style="77" width="22.5459183673469"/>
    <col collapsed="false" hidden="false" max="24" min="23" style="77" width="11.2040816326531"/>
    <col collapsed="false" hidden="false" max="25" min="25" style="77" width="14.8469387755102"/>
    <col collapsed="false" hidden="false" max="1025" min="26" style="77" width="11.2040816326531"/>
  </cols>
  <sheetData>
    <row r="1" customFormat="false" ht="33.75" hidden="false" customHeight="false" outlineLevel="0" collapsed="false">
      <c r="A1" s="80"/>
      <c r="B1" s="338" t="s">
        <v>1</v>
      </c>
      <c r="C1" s="338"/>
      <c r="D1" s="162"/>
      <c r="E1" s="339" t="s">
        <v>2</v>
      </c>
      <c r="F1" s="83"/>
      <c r="G1" s="84" t="s">
        <v>3</v>
      </c>
      <c r="H1" s="84"/>
      <c r="I1" s="85"/>
      <c r="J1" s="82" t="s">
        <v>4</v>
      </c>
      <c r="K1" s="82"/>
      <c r="L1" s="83"/>
      <c r="M1" s="340" t="s">
        <v>136</v>
      </c>
      <c r="N1" s="341" t="s">
        <v>107</v>
      </c>
      <c r="O1" s="342" t="s">
        <v>108</v>
      </c>
      <c r="P1" s="343" t="s">
        <v>176</v>
      </c>
      <c r="Q1" s="283" t="s">
        <v>25</v>
      </c>
      <c r="R1" s="284" t="s">
        <v>6</v>
      </c>
      <c r="S1" s="285" t="s">
        <v>111</v>
      </c>
      <c r="T1" s="286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.75" hidden="false" customHeight="false" outlineLevel="0" collapsed="false">
      <c r="A2" s="206" t="s">
        <v>148</v>
      </c>
      <c r="B2" s="209"/>
      <c r="C2" s="210"/>
      <c r="D2" s="211" t="n">
        <v>250</v>
      </c>
      <c r="E2" s="209"/>
      <c r="F2" s="210"/>
      <c r="G2" s="212" t="n">
        <v>250</v>
      </c>
      <c r="H2" s="213"/>
      <c r="I2" s="214"/>
      <c r="J2" s="208" t="n">
        <v>250</v>
      </c>
      <c r="K2" s="213"/>
      <c r="L2" s="210"/>
      <c r="M2" s="344"/>
      <c r="N2" s="345"/>
      <c r="O2" s="346"/>
      <c r="P2" s="106"/>
      <c r="Q2" s="308"/>
      <c r="R2" s="209" t="n">
        <v>1000</v>
      </c>
      <c r="S2" s="218" t="n">
        <v>1</v>
      </c>
      <c r="T2" s="216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.75" hidden="false" customHeight="false" outlineLevel="0" collapsed="false">
      <c r="A3" s="206" t="s">
        <v>142</v>
      </c>
      <c r="B3" s="209" t="n">
        <f aca="false">18*12.56</f>
        <v>226.08</v>
      </c>
      <c r="C3" s="210"/>
      <c r="D3" s="219" t="n">
        <v>12</v>
      </c>
      <c r="E3" s="209" t="n">
        <f aca="false">D3*12.56</f>
        <v>150.72</v>
      </c>
      <c r="F3" s="210"/>
      <c r="G3" s="212"/>
      <c r="H3" s="213" t="n">
        <v>87.71</v>
      </c>
      <c r="I3" s="214"/>
      <c r="J3" s="208"/>
      <c r="K3" s="213"/>
      <c r="L3" s="210"/>
      <c r="M3" s="344"/>
      <c r="N3" s="345" t="n">
        <f aca="false">(B3+E3+H743+K3)*0.085</f>
        <v>32.028</v>
      </c>
      <c r="O3" s="346" t="n">
        <f aca="false">(B3+C3+E3+F3+H3+I3+K3+L3)*0.05</f>
        <v>23.2255</v>
      </c>
      <c r="P3" s="106"/>
      <c r="Q3" s="308" t="n">
        <f aca="false">+B3+E3+H3+N3+O3</f>
        <v>519.7635</v>
      </c>
      <c r="R3" s="209"/>
      <c r="S3" s="218"/>
      <c r="T3" s="216"/>
      <c r="U3" s="0"/>
      <c r="V3" s="162" t="n">
        <v>412.74</v>
      </c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.75" hidden="false" customHeight="false" outlineLevel="0" collapsed="false">
      <c r="A4" s="80"/>
      <c r="B4" s="347"/>
      <c r="C4" s="348"/>
      <c r="D4" s="349"/>
      <c r="E4" s="350"/>
      <c r="F4" s="348"/>
      <c r="G4" s="347"/>
      <c r="H4" s="351"/>
      <c r="I4" s="352"/>
      <c r="J4" s="347"/>
      <c r="K4" s="351"/>
      <c r="L4" s="348"/>
      <c r="M4" s="353"/>
      <c r="N4" s="354"/>
      <c r="O4" s="355"/>
      <c r="P4" s="356"/>
      <c r="Q4" s="357"/>
      <c r="R4" s="358"/>
      <c r="S4" s="351"/>
      <c r="T4" s="359"/>
      <c r="U4" s="0"/>
      <c r="V4" s="162" t="n">
        <v>98.27</v>
      </c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6.5" hidden="false" customHeight="false" outlineLevel="0" collapsed="false">
      <c r="A5" s="93" t="s">
        <v>112</v>
      </c>
      <c r="B5" s="96"/>
      <c r="C5" s="97"/>
      <c r="D5" s="98"/>
      <c r="E5" s="96"/>
      <c r="F5" s="97"/>
      <c r="G5" s="99" t="s">
        <v>113</v>
      </c>
      <c r="H5" s="100" t="n">
        <v>11.45</v>
      </c>
      <c r="I5" s="94"/>
      <c r="J5" s="99" t="s">
        <v>113</v>
      </c>
      <c r="K5" s="100" t="n">
        <v>11.42</v>
      </c>
      <c r="L5" s="97" t="s">
        <v>114</v>
      </c>
      <c r="M5" s="344"/>
      <c r="N5" s="345"/>
      <c r="O5" s="320"/>
      <c r="P5" s="102"/>
      <c r="Q5" s="95"/>
      <c r="R5" s="104"/>
      <c r="S5" s="101"/>
      <c r="T5" s="106"/>
      <c r="U5" s="0"/>
      <c r="V5" s="162" t="n">
        <f aca="false">SUM(V3:V4)</f>
        <v>511.01</v>
      </c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5.5" hidden="false" customHeight="false" outlineLevel="0" collapsed="false">
      <c r="A6" s="93" t="s">
        <v>116</v>
      </c>
      <c r="B6" s="96"/>
      <c r="C6" s="97"/>
      <c r="D6" s="98" t="n">
        <v>1100</v>
      </c>
      <c r="E6" s="96"/>
      <c r="F6" s="97"/>
      <c r="G6" s="103" t="n">
        <v>1100</v>
      </c>
      <c r="H6" s="101"/>
      <c r="I6" s="94"/>
      <c r="J6" s="95" t="n">
        <v>1100</v>
      </c>
      <c r="K6" s="101"/>
      <c r="L6" s="97"/>
      <c r="M6" s="344"/>
      <c r="N6" s="345"/>
      <c r="O6" s="342" t="s">
        <v>167</v>
      </c>
      <c r="P6" s="106" t="n">
        <v>4400</v>
      </c>
      <c r="Q6" s="288"/>
      <c r="R6" s="96" t="n">
        <v>3500</v>
      </c>
      <c r="S6" s="108" t="n">
        <f aca="false">R6/P6</f>
        <v>0.795454545454546</v>
      </c>
      <c r="T6" s="289" t="s">
        <v>117</v>
      </c>
      <c r="U6" s="110" t="n">
        <f aca="true">TODAY()</f>
        <v>43234</v>
      </c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75" hidden="false" customHeight="false" outlineLevel="0" collapsed="false">
      <c r="A7" s="93"/>
      <c r="B7" s="96" t="s">
        <v>118</v>
      </c>
      <c r="C7" s="97" t="s">
        <v>119</v>
      </c>
      <c r="D7" s="98" t="s">
        <v>8</v>
      </c>
      <c r="E7" s="96" t="s">
        <v>118</v>
      </c>
      <c r="F7" s="97" t="s">
        <v>119</v>
      </c>
      <c r="G7" s="103" t="s">
        <v>8</v>
      </c>
      <c r="H7" s="101" t="s">
        <v>118</v>
      </c>
      <c r="I7" s="94" t="s">
        <v>119</v>
      </c>
      <c r="J7" s="95" t="s">
        <v>8</v>
      </c>
      <c r="K7" s="101" t="s">
        <v>118</v>
      </c>
      <c r="L7" s="97" t="s">
        <v>119</v>
      </c>
      <c r="M7" s="344"/>
      <c r="N7" s="345"/>
      <c r="O7" s="320"/>
      <c r="P7" s="111"/>
      <c r="Q7" s="95"/>
      <c r="R7" s="96"/>
      <c r="S7" s="101"/>
      <c r="T7" s="106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.75" hidden="false" customHeight="false" outlineLevel="0" collapsed="false">
      <c r="A8" s="93" t="s">
        <v>121</v>
      </c>
      <c r="B8" s="360" t="n">
        <v>540</v>
      </c>
      <c r="C8" s="97"/>
      <c r="D8" s="112" t="n">
        <v>87</v>
      </c>
      <c r="E8" s="360" t="n">
        <f aca="false">D8*12.56</f>
        <v>1092.72</v>
      </c>
      <c r="F8" s="97"/>
      <c r="G8" s="103" t="n">
        <v>73</v>
      </c>
      <c r="H8" s="360" t="n">
        <v>833.45</v>
      </c>
      <c r="I8" s="94"/>
      <c r="J8" s="95" t="n">
        <v>77</v>
      </c>
      <c r="K8" s="360" t="n">
        <v>1084.84</v>
      </c>
      <c r="L8" s="97"/>
      <c r="M8" s="344"/>
      <c r="N8" s="345"/>
      <c r="O8" s="320"/>
      <c r="P8" s="106" t="n">
        <f aca="false">B8+E8+H8+K8</f>
        <v>3551.01</v>
      </c>
      <c r="Q8" s="288"/>
      <c r="R8" s="96"/>
      <c r="S8" s="101"/>
      <c r="T8" s="106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.75" hidden="false" customHeight="false" outlineLevel="0" collapsed="false">
      <c r="A9" s="93" t="s">
        <v>168</v>
      </c>
      <c r="B9" s="360" t="n">
        <v>76</v>
      </c>
      <c r="C9" s="97"/>
      <c r="D9" s="112"/>
      <c r="E9" s="360"/>
      <c r="F9" s="97"/>
      <c r="G9" s="103"/>
      <c r="H9" s="360"/>
      <c r="I9" s="94"/>
      <c r="J9" s="95"/>
      <c r="K9" s="360" t="n">
        <v>65.15</v>
      </c>
      <c r="L9" s="97"/>
      <c r="M9" s="344"/>
      <c r="N9" s="345"/>
      <c r="O9" s="320"/>
      <c r="P9" s="106" t="n">
        <f aca="false">B9+E9+H9+K9</f>
        <v>141.15</v>
      </c>
      <c r="Q9" s="288"/>
      <c r="R9" s="96"/>
      <c r="S9" s="101"/>
      <c r="T9" s="106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.75" hidden="false" customHeight="false" outlineLevel="0" collapsed="false">
      <c r="A10" s="93" t="s">
        <v>124</v>
      </c>
      <c r="B10" s="117" t="n">
        <f aca="false">SUM(B8:B9)</f>
        <v>616</v>
      </c>
      <c r="C10" s="97"/>
      <c r="D10" s="112" t="n">
        <f aca="false">SUM(D8:D9)</f>
        <v>87</v>
      </c>
      <c r="E10" s="117" t="n">
        <f aca="false">SUM(E8:E9)</f>
        <v>1092.72</v>
      </c>
      <c r="F10" s="97"/>
      <c r="G10" s="103" t="n">
        <f aca="false">SUM(G8:G9)</f>
        <v>73</v>
      </c>
      <c r="H10" s="117" t="n">
        <f aca="false">SUM(H8:H9)</f>
        <v>833.45</v>
      </c>
      <c r="I10" s="94"/>
      <c r="J10" s="95" t="n">
        <f aca="false">SUM(J8:J9)</f>
        <v>77</v>
      </c>
      <c r="K10" s="117" t="n">
        <f aca="false">SUM(K8:K9)</f>
        <v>1149.99</v>
      </c>
      <c r="L10" s="97"/>
      <c r="M10" s="361" t="n">
        <f aca="false">L10+I10+F10+C10</f>
        <v>0</v>
      </c>
      <c r="N10" s="291" t="n">
        <f aca="false">(B10+E10+H10+K10)*0.085</f>
        <v>313.8336</v>
      </c>
      <c r="O10" s="114" t="n">
        <f aca="false">(B10+C10+E10+F10+H10+I10+K10+L10)*0.05</f>
        <v>184.608</v>
      </c>
      <c r="P10" s="115" t="n">
        <f aca="false">B10+E10+H10+K10</f>
        <v>3692.16</v>
      </c>
      <c r="Q10" s="205" t="n">
        <f aca="false">SUM(M10:P10)</f>
        <v>4190.6016</v>
      </c>
      <c r="R10" s="96" t="n">
        <f aca="false">Q10*S6</f>
        <v>3333.43309090909</v>
      </c>
      <c r="S10" s="101"/>
      <c r="T10" s="115" t="n">
        <f aca="false">P6-Q10</f>
        <v>209.3984</v>
      </c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6.5" hidden="false" customHeight="false" outlineLevel="0" collapsed="false">
      <c r="A11" s="80"/>
      <c r="B11" s="92"/>
      <c r="C11" s="125"/>
      <c r="D11" s="126"/>
      <c r="E11" s="92"/>
      <c r="F11" s="127"/>
      <c r="G11" s="128"/>
      <c r="H11" s="91"/>
      <c r="I11" s="129"/>
      <c r="J11" s="124"/>
      <c r="K11" s="91"/>
      <c r="L11" s="125"/>
      <c r="M11" s="344"/>
      <c r="N11" s="345"/>
      <c r="O11" s="320"/>
      <c r="P11" s="106"/>
      <c r="Q11" s="294"/>
      <c r="R11" s="92"/>
      <c r="S11" s="132"/>
      <c r="T11" s="13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7" hidden="false" customHeight="true" outlineLevel="0" collapsed="false">
      <c r="A12" s="133" t="s">
        <v>127</v>
      </c>
      <c r="B12" s="136"/>
      <c r="C12" s="137"/>
      <c r="D12" s="138" t="n">
        <v>875</v>
      </c>
      <c r="E12" s="136"/>
      <c r="F12" s="139"/>
      <c r="G12" s="140" t="n">
        <v>875</v>
      </c>
      <c r="H12" s="141"/>
      <c r="I12" s="142"/>
      <c r="J12" s="135" t="n">
        <v>875</v>
      </c>
      <c r="K12" s="141"/>
      <c r="L12" s="137"/>
      <c r="M12" s="344"/>
      <c r="N12" s="345"/>
      <c r="O12" s="342" t="s">
        <v>167</v>
      </c>
      <c r="P12" s="106" t="n">
        <f aca="false">SUM(B12:L12)</f>
        <v>2625</v>
      </c>
      <c r="Q12" s="296"/>
      <c r="R12" s="136" t="n">
        <v>3500</v>
      </c>
      <c r="S12" s="145" t="n">
        <v>1</v>
      </c>
      <c r="T12" s="158"/>
      <c r="U12" s="80"/>
      <c r="V12" s="91" t="s">
        <v>177</v>
      </c>
      <c r="W12" s="91" t="s">
        <v>178</v>
      </c>
      <c r="X12" s="91" t="s">
        <v>179</v>
      </c>
      <c r="Y12" s="91" t="s">
        <v>180</v>
      </c>
      <c r="Z12" s="91" t="s">
        <v>181</v>
      </c>
      <c r="AA12" s="91"/>
      <c r="AB12" s="91"/>
      <c r="AC12" s="91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.75" hidden="false" customHeight="false" outlineLevel="0" collapsed="false">
      <c r="A13" s="133" t="s">
        <v>19</v>
      </c>
      <c r="B13" s="136" t="n">
        <v>263.65</v>
      </c>
      <c r="C13" s="137"/>
      <c r="D13" s="147" t="n">
        <v>22</v>
      </c>
      <c r="E13" s="136" t="n">
        <f aca="false">D13*12.56</f>
        <v>276.32</v>
      </c>
      <c r="F13" s="139"/>
      <c r="G13" s="148" t="n">
        <v>16</v>
      </c>
      <c r="H13" s="136" t="n">
        <v>182.67</v>
      </c>
      <c r="I13" s="142"/>
      <c r="J13" s="147" t="n">
        <v>69</v>
      </c>
      <c r="K13" s="136" t="n">
        <v>993.49</v>
      </c>
      <c r="L13" s="137"/>
      <c r="M13" s="344"/>
      <c r="N13" s="345"/>
      <c r="O13" s="320"/>
      <c r="P13" s="102" t="n">
        <f aca="false">+B13+E13+H13+K13</f>
        <v>1716.13</v>
      </c>
      <c r="Q13" s="135"/>
      <c r="R13" s="146"/>
      <c r="S13" s="141"/>
      <c r="T13" s="150"/>
      <c r="U13" s="301" t="n">
        <v>3.3</v>
      </c>
      <c r="V13" s="162" t="n">
        <v>1000</v>
      </c>
      <c r="W13" s="362" t="n">
        <v>1</v>
      </c>
      <c r="X13" s="162" t="n">
        <v>1000</v>
      </c>
      <c r="Y13" s="363" t="n">
        <f aca="false">Q3</f>
        <v>519.7635</v>
      </c>
      <c r="Z13" s="91" t="n">
        <f aca="false">V13-Y13</f>
        <v>480.2365</v>
      </c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.75" hidden="false" customHeight="false" outlineLevel="0" collapsed="false">
      <c r="A14" s="133" t="s">
        <v>132</v>
      </c>
      <c r="B14" s="136"/>
      <c r="C14" s="137"/>
      <c r="D14" s="147"/>
      <c r="E14" s="136" t="n">
        <f aca="false">D14*12.56</f>
        <v>0</v>
      </c>
      <c r="F14" s="139"/>
      <c r="G14" s="148" t="n">
        <v>2</v>
      </c>
      <c r="H14" s="136" t="n">
        <f aca="false">G14*H5</f>
        <v>22.9</v>
      </c>
      <c r="I14" s="142"/>
      <c r="J14" s="147" t="n">
        <v>19</v>
      </c>
      <c r="K14" s="136" t="n">
        <v>214.01</v>
      </c>
      <c r="L14" s="137"/>
      <c r="M14" s="344"/>
      <c r="N14" s="345"/>
      <c r="O14" s="320"/>
      <c r="P14" s="102" t="n">
        <f aca="false">+B14+E14+H14+K14</f>
        <v>236.91</v>
      </c>
      <c r="Q14" s="135"/>
      <c r="R14" s="146"/>
      <c r="S14" s="141"/>
      <c r="T14" s="150"/>
      <c r="U14" s="80" t="n">
        <v>8.1</v>
      </c>
      <c r="V14" s="91" t="n">
        <v>4400</v>
      </c>
      <c r="W14" s="364" t="n">
        <v>0.8</v>
      </c>
      <c r="X14" s="91" t="n">
        <f aca="false">V14*W14</f>
        <v>3520</v>
      </c>
      <c r="Y14" s="365" t="n">
        <v>4180</v>
      </c>
      <c r="Z14" s="91" t="n">
        <f aca="false">V14-Y14</f>
        <v>220</v>
      </c>
      <c r="AA14" s="91"/>
      <c r="AB14" s="91"/>
      <c r="AC14" s="91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.75" hidden="false" customHeight="false" outlineLevel="0" collapsed="false">
      <c r="A15" s="133" t="s">
        <v>169</v>
      </c>
      <c r="B15" s="136"/>
      <c r="C15" s="137"/>
      <c r="D15" s="147"/>
      <c r="E15" s="136"/>
      <c r="F15" s="139"/>
      <c r="G15" s="148"/>
      <c r="H15" s="136"/>
      <c r="I15" s="142"/>
      <c r="J15" s="147"/>
      <c r="K15" s="136" t="n">
        <v>131.54</v>
      </c>
      <c r="L15" s="137"/>
      <c r="M15" s="344"/>
      <c r="N15" s="345"/>
      <c r="O15" s="320"/>
      <c r="P15" s="102" t="n">
        <f aca="false">+B15+E15+H15+K15</f>
        <v>131.54</v>
      </c>
      <c r="Q15" s="135"/>
      <c r="R15" s="146"/>
      <c r="S15" s="141"/>
      <c r="T15" s="150"/>
      <c r="U15" s="80" t="n">
        <v>7.1</v>
      </c>
      <c r="V15" s="91" t="n">
        <v>3500</v>
      </c>
      <c r="W15" s="364" t="n">
        <v>1</v>
      </c>
      <c r="X15" s="91" t="n">
        <f aca="false">V15*W15</f>
        <v>3500</v>
      </c>
      <c r="Y15" s="365" t="n">
        <v>3896.67</v>
      </c>
      <c r="Z15" s="91" t="n">
        <f aca="false">V15-Y15</f>
        <v>-396.67</v>
      </c>
      <c r="AA15" s="91"/>
      <c r="AB15" s="91"/>
      <c r="AC15" s="91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.75" hidden="false" customHeight="false" outlineLevel="0" collapsed="false">
      <c r="A16" s="133" t="s">
        <v>21</v>
      </c>
      <c r="B16" s="136"/>
      <c r="C16" s="137"/>
      <c r="D16" s="147"/>
      <c r="E16" s="136" t="n">
        <f aca="false">D16*12.56</f>
        <v>0</v>
      </c>
      <c r="F16" s="139"/>
      <c r="G16" s="148"/>
      <c r="H16" s="136" t="n">
        <f aca="false">G16*H5</f>
        <v>0</v>
      </c>
      <c r="I16" s="142"/>
      <c r="J16" s="147" t="n">
        <v>23</v>
      </c>
      <c r="K16" s="136" t="n">
        <v>264.95</v>
      </c>
      <c r="L16" s="137"/>
      <c r="M16" s="344"/>
      <c r="N16" s="345"/>
      <c r="O16" s="320"/>
      <c r="P16" s="102" t="n">
        <f aca="false">+B16+E16+H16+K16</f>
        <v>264.95</v>
      </c>
      <c r="Q16" s="135"/>
      <c r="R16" s="146"/>
      <c r="S16" s="141"/>
      <c r="T16" s="150"/>
      <c r="U16" s="80" t="n">
        <v>5.4</v>
      </c>
      <c r="V16" s="91" t="n">
        <v>50000</v>
      </c>
      <c r="W16" s="364" t="n">
        <v>0.5</v>
      </c>
      <c r="X16" s="91" t="n">
        <f aca="false">V16*W16</f>
        <v>25000</v>
      </c>
      <c r="Y16" s="365" t="n">
        <v>41833</v>
      </c>
      <c r="Z16" s="91" t="n">
        <f aca="false">V16-Y16</f>
        <v>8167</v>
      </c>
      <c r="AA16" s="80" t="s">
        <v>182</v>
      </c>
      <c r="AB16" s="91"/>
      <c r="AC16" s="91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.75" hidden="false" customHeight="false" outlineLevel="0" collapsed="false">
      <c r="A17" s="133" t="s">
        <v>124</v>
      </c>
      <c r="B17" s="117" t="n">
        <f aca="false">SUM(B13:B16)</f>
        <v>263.65</v>
      </c>
      <c r="C17" s="137"/>
      <c r="D17" s="135"/>
      <c r="E17" s="117" t="n">
        <f aca="false">SUM(E13:E16)</f>
        <v>276.32</v>
      </c>
      <c r="F17" s="139"/>
      <c r="G17" s="135" t="n">
        <f aca="false">SUM(G13:G16)</f>
        <v>18</v>
      </c>
      <c r="H17" s="117" t="n">
        <f aca="false">SUM(H13:H16)</f>
        <v>205.57</v>
      </c>
      <c r="I17" s="142"/>
      <c r="J17" s="135" t="n">
        <f aca="false">SUM(J13:J16)</f>
        <v>111</v>
      </c>
      <c r="K17" s="117" t="n">
        <f aca="false">SUM(K13:K16)</f>
        <v>1603.99</v>
      </c>
      <c r="L17" s="117" t="n">
        <v>1171</v>
      </c>
      <c r="M17" s="361" t="n">
        <f aca="false">L17+I17+F17+C17</f>
        <v>1171</v>
      </c>
      <c r="N17" s="291" t="n">
        <f aca="false">(B17+E17+H17+K17)*0.085</f>
        <v>199.71005</v>
      </c>
      <c r="O17" s="114" t="n">
        <f aca="false">(B17+C17+E17+F17+H17+I17+K17+L17)*0.05</f>
        <v>176.0265</v>
      </c>
      <c r="P17" s="115" t="n">
        <f aca="false">SUM(P13:P16)</f>
        <v>2349.53</v>
      </c>
      <c r="Q17" s="205" t="n">
        <f aca="false">SUM(M17:P17)</f>
        <v>3896.26655</v>
      </c>
      <c r="R17" s="136"/>
      <c r="S17" s="141"/>
      <c r="T17" s="154" t="n">
        <f aca="false">R12-Q17</f>
        <v>-396.26655</v>
      </c>
      <c r="U17" s="80" t="n">
        <v>6.2</v>
      </c>
      <c r="V17" s="91" t="n">
        <v>130000</v>
      </c>
      <c r="W17" s="364" t="n">
        <v>0.35</v>
      </c>
      <c r="X17" s="91" t="n">
        <f aca="false">V17*W17</f>
        <v>45500</v>
      </c>
      <c r="Y17" s="365" t="n">
        <v>109758</v>
      </c>
      <c r="Z17" s="91" t="n">
        <f aca="false">V17-Y17</f>
        <v>20242</v>
      </c>
      <c r="AA17" s="91"/>
      <c r="AB17" s="91"/>
      <c r="AC17" s="91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6.5" hidden="false" customHeight="false" outlineLevel="0" collapsed="false">
      <c r="A18" s="80"/>
      <c r="B18" s="92"/>
      <c r="C18" s="125"/>
      <c r="D18" s="161"/>
      <c r="E18" s="162"/>
      <c r="F18" s="125"/>
      <c r="G18" s="128"/>
      <c r="H18" s="91"/>
      <c r="I18" s="129"/>
      <c r="J18" s="124"/>
      <c r="K18" s="91"/>
      <c r="L18" s="125"/>
      <c r="M18" s="344"/>
      <c r="N18" s="345"/>
      <c r="O18" s="320"/>
      <c r="P18" s="102"/>
      <c r="Q18" s="124"/>
      <c r="R18" s="152"/>
      <c r="S18" s="91"/>
      <c r="T18" s="130"/>
      <c r="U18" s="80" t="n">
        <v>6.2</v>
      </c>
      <c r="V18" s="80" t="s">
        <v>183</v>
      </c>
      <c r="W18" s="364"/>
      <c r="X18" s="91"/>
      <c r="Y18" s="91"/>
      <c r="Z18" s="91"/>
      <c r="AA18" s="91"/>
      <c r="AB18" s="91"/>
      <c r="AC18" s="91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31.5" hidden="false" customHeight="true" outlineLevel="0" collapsed="false">
      <c r="A19" s="165" t="s">
        <v>138</v>
      </c>
      <c r="B19" s="168" t="n">
        <v>2650</v>
      </c>
      <c r="C19" s="169"/>
      <c r="D19" s="170"/>
      <c r="E19" s="168" t="n">
        <v>2600</v>
      </c>
      <c r="F19" s="169"/>
      <c r="G19" s="171"/>
      <c r="H19" s="178" t="n">
        <v>2600</v>
      </c>
      <c r="I19" s="179"/>
      <c r="J19" s="180"/>
      <c r="K19" s="178" t="n">
        <v>2600</v>
      </c>
      <c r="L19" s="169"/>
      <c r="M19" s="344"/>
      <c r="N19" s="345"/>
      <c r="O19" s="342" t="s">
        <v>167</v>
      </c>
      <c r="P19" s="106" t="n">
        <f aca="false">SUM(B19:L19)</f>
        <v>10450</v>
      </c>
      <c r="Q19" s="180"/>
      <c r="R19" s="168" t="n">
        <f aca="false">P19*S19</f>
        <v>5001.37</v>
      </c>
      <c r="S19" s="183" t="n">
        <v>0.4786</v>
      </c>
      <c r="T19" s="181"/>
      <c r="U19" s="0"/>
      <c r="V19" s="0"/>
      <c r="W19" s="362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.75" hidden="false" customHeight="false" outlineLevel="0" collapsed="false">
      <c r="A20" s="177" t="s">
        <v>142</v>
      </c>
      <c r="B20" s="117" t="n">
        <v>3755</v>
      </c>
      <c r="C20" s="169"/>
      <c r="D20" s="184"/>
      <c r="E20" s="117" t="n">
        <v>2788</v>
      </c>
      <c r="F20" s="169"/>
      <c r="G20" s="99" t="n">
        <v>104</v>
      </c>
      <c r="H20" s="117" t="n">
        <f aca="false">G20*11.45</f>
        <v>1190.8</v>
      </c>
      <c r="I20" s="173"/>
      <c r="J20" s="167" t="n">
        <v>108</v>
      </c>
      <c r="K20" s="100" t="n">
        <v>1485.7</v>
      </c>
      <c r="L20" s="169"/>
      <c r="M20" s="344"/>
      <c r="N20" s="345"/>
      <c r="O20" s="320"/>
      <c r="P20" s="106" t="n">
        <f aca="false">B20+E20++H20+K20</f>
        <v>9219.5</v>
      </c>
      <c r="Q20" s="180"/>
      <c r="R20" s="168"/>
      <c r="S20" s="172"/>
      <c r="T20" s="181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.75" hidden="false" customHeight="false" outlineLevel="0" collapsed="false">
      <c r="A21" s="177" t="s">
        <v>170</v>
      </c>
      <c r="B21" s="117" t="n">
        <v>557</v>
      </c>
      <c r="C21" s="169"/>
      <c r="D21" s="184"/>
      <c r="E21" s="117" t="n">
        <v>812</v>
      </c>
      <c r="F21" s="169"/>
      <c r="G21" s="171" t="n">
        <f aca="false">SUM(G19:G19)</f>
        <v>0</v>
      </c>
      <c r="H21" s="172"/>
      <c r="I21" s="173"/>
      <c r="J21" s="167" t="n">
        <v>39</v>
      </c>
      <c r="K21" s="100" t="n">
        <v>673.42</v>
      </c>
      <c r="L21" s="169"/>
      <c r="M21" s="344"/>
      <c r="N21" s="345"/>
      <c r="O21" s="320"/>
      <c r="P21" s="106" t="n">
        <f aca="false">B21+E21+H21+K21</f>
        <v>2042.42</v>
      </c>
      <c r="Q21" s="180"/>
      <c r="R21" s="168"/>
      <c r="S21" s="172"/>
      <c r="T21" s="181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.75" hidden="false" customHeight="false" outlineLevel="0" collapsed="false">
      <c r="A22" s="177" t="s">
        <v>171</v>
      </c>
      <c r="B22" s="117" t="n">
        <v>75</v>
      </c>
      <c r="C22" s="169"/>
      <c r="D22" s="184"/>
      <c r="E22" s="168"/>
      <c r="F22" s="169"/>
      <c r="G22" s="171"/>
      <c r="H22" s="172"/>
      <c r="I22" s="173"/>
      <c r="J22" s="167" t="n">
        <v>31</v>
      </c>
      <c r="K22" s="100" t="n">
        <v>461.07</v>
      </c>
      <c r="L22" s="169"/>
      <c r="M22" s="344"/>
      <c r="N22" s="345"/>
      <c r="O22" s="320"/>
      <c r="P22" s="106" t="n">
        <f aca="false">B22+E22+H22+K22</f>
        <v>536.07</v>
      </c>
      <c r="Q22" s="180"/>
      <c r="R22" s="168"/>
      <c r="S22" s="172"/>
      <c r="T22" s="176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.75" hidden="false" customHeight="false" outlineLevel="0" collapsed="false">
      <c r="A23" s="177" t="s">
        <v>124</v>
      </c>
      <c r="B23" s="172" t="n">
        <f aca="false">SUM(B20:B22)</f>
        <v>4387</v>
      </c>
      <c r="C23" s="169" t="n">
        <f aca="false">SUM(C20:C22)</f>
        <v>0</v>
      </c>
      <c r="D23" s="184"/>
      <c r="E23" s="175" t="n">
        <f aca="false">SUM(E20:E22)</f>
        <v>3600</v>
      </c>
      <c r="F23" s="169"/>
      <c r="G23" s="171" t="n">
        <f aca="false">SUM(G20:G22)</f>
        <v>104</v>
      </c>
      <c r="H23" s="175" t="n">
        <f aca="false">SUM(H20:H22)</f>
        <v>1190.8</v>
      </c>
      <c r="I23" s="173"/>
      <c r="J23" s="167" t="n">
        <f aca="false">SUM(J20:J22)</f>
        <v>178</v>
      </c>
      <c r="K23" s="172" t="n">
        <f aca="false">SUM(K20:K22)</f>
        <v>2620.19</v>
      </c>
      <c r="L23" s="169"/>
      <c r="M23" s="361" t="n">
        <f aca="false">L23+I23+F23+C23</f>
        <v>0</v>
      </c>
      <c r="N23" s="366" t="n">
        <f aca="false">(B23+E23+H23+K23)*0.085</f>
        <v>1002.82915</v>
      </c>
      <c r="O23" s="367" t="n">
        <f aca="false">(B23+C23+E23+F23+H23+I23+K23+L23)*0.05</f>
        <v>589.8995</v>
      </c>
      <c r="P23" s="106" t="n">
        <f aca="false">SUM(P20:P22)</f>
        <v>11797.99</v>
      </c>
      <c r="Q23" s="205" t="n">
        <f aca="false">SUM(M23:P23)</f>
        <v>13390.71865</v>
      </c>
      <c r="R23" s="168" t="n">
        <f aca="false">P23*S19</f>
        <v>5646.518014</v>
      </c>
      <c r="S23" s="172"/>
      <c r="T23" s="154" t="n">
        <f aca="false">P19-Q23</f>
        <v>-2940.71865</v>
      </c>
      <c r="U23" s="80"/>
      <c r="V23" s="91"/>
      <c r="W23" s="91"/>
      <c r="X23" s="91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6.5" hidden="false" customHeight="false" outlineLevel="0" collapsed="false">
      <c r="A24" s="80"/>
      <c r="B24" s="92"/>
      <c r="C24" s="125"/>
      <c r="D24" s="126"/>
      <c r="E24" s="92"/>
      <c r="F24" s="125"/>
      <c r="G24" s="128"/>
      <c r="H24" s="91"/>
      <c r="I24" s="129"/>
      <c r="J24" s="124"/>
      <c r="K24" s="91"/>
      <c r="L24" s="125"/>
      <c r="M24" s="344"/>
      <c r="N24" s="345"/>
      <c r="O24" s="320"/>
      <c r="P24" s="102"/>
      <c r="Q24" s="124"/>
      <c r="R24" s="152"/>
      <c r="S24" s="91"/>
      <c r="T24" s="164"/>
      <c r="U24" s="80" t="s">
        <v>184</v>
      </c>
      <c r="V24" s="91"/>
      <c r="W24" s="91"/>
      <c r="X24" s="91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27.75" hidden="false" customHeight="true" outlineLevel="0" collapsed="false">
      <c r="A25" s="186" t="s">
        <v>145</v>
      </c>
      <c r="B25" s="189"/>
      <c r="C25" s="190"/>
      <c r="D25" s="191" t="n">
        <v>10450</v>
      </c>
      <c r="E25" s="189"/>
      <c r="F25" s="190"/>
      <c r="G25" s="192" t="n">
        <v>10450</v>
      </c>
      <c r="H25" s="193"/>
      <c r="I25" s="194"/>
      <c r="J25" s="188" t="n">
        <v>10450</v>
      </c>
      <c r="K25" s="193"/>
      <c r="L25" s="190"/>
      <c r="M25" s="344"/>
      <c r="N25" s="345"/>
      <c r="O25" s="342" t="s">
        <v>167</v>
      </c>
      <c r="P25" s="106" t="n">
        <v>40000</v>
      </c>
      <c r="Q25" s="303"/>
      <c r="R25" s="189" t="n">
        <f aca="false">P25*S25</f>
        <v>19144</v>
      </c>
      <c r="S25" s="197" t="n">
        <v>0.4786</v>
      </c>
      <c r="T25" s="368"/>
      <c r="U25" s="369" t="s">
        <v>185</v>
      </c>
      <c r="V25" s="370"/>
      <c r="W25" s="91"/>
      <c r="X25" s="91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.75" hidden="false" customHeight="false" outlineLevel="0" collapsed="false">
      <c r="A26" s="186" t="s">
        <v>146</v>
      </c>
      <c r="B26" s="117" t="n">
        <v>1107</v>
      </c>
      <c r="C26" s="304" t="n">
        <f aca="false">300+960+50</f>
        <v>1310</v>
      </c>
      <c r="D26" s="188"/>
      <c r="E26" s="117" t="n">
        <v>1840</v>
      </c>
      <c r="F26" s="190"/>
      <c r="G26" s="99" t="n">
        <v>80</v>
      </c>
      <c r="H26" s="100" t="n">
        <v>1212</v>
      </c>
      <c r="I26" s="194"/>
      <c r="J26" s="188" t="n">
        <v>74</v>
      </c>
      <c r="K26" s="100" t="n">
        <v>1100.63</v>
      </c>
      <c r="L26" s="190"/>
      <c r="M26" s="344"/>
      <c r="N26" s="345"/>
      <c r="O26" s="320"/>
      <c r="P26" s="106" t="n">
        <f aca="false">B26+E26+H26+K26</f>
        <v>5259.63</v>
      </c>
      <c r="Q26" s="303"/>
      <c r="R26" s="189"/>
      <c r="S26" s="193"/>
      <c r="T26" s="368"/>
      <c r="U26" s="80" t="s">
        <v>186</v>
      </c>
      <c r="V26" s="370" t="n">
        <f aca="false">374.52+618.77</f>
        <v>993.29</v>
      </c>
      <c r="W26" s="91"/>
      <c r="X26" s="91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5.75" hidden="false" customHeight="false" outlineLevel="0" collapsed="false">
      <c r="A27" s="186" t="s">
        <v>142</v>
      </c>
      <c r="B27" s="189"/>
      <c r="C27" s="190"/>
      <c r="D27" s="188"/>
      <c r="E27" s="189"/>
      <c r="F27" s="190"/>
      <c r="G27" s="99" t="n">
        <f aca="false">170-G20</f>
        <v>66</v>
      </c>
      <c r="H27" s="100" t="n">
        <f aca="false">11.45*G27</f>
        <v>755.7</v>
      </c>
      <c r="I27" s="194"/>
      <c r="J27" s="188" t="n">
        <v>79</v>
      </c>
      <c r="K27" s="100" t="n">
        <v>1021.24</v>
      </c>
      <c r="L27" s="190"/>
      <c r="M27" s="344"/>
      <c r="N27" s="345"/>
      <c r="O27" s="320"/>
      <c r="P27" s="106" t="n">
        <f aca="false">B27+E27+H27+K27</f>
        <v>1776.94</v>
      </c>
      <c r="Q27" s="303"/>
      <c r="R27" s="189"/>
      <c r="S27" s="193"/>
      <c r="T27" s="368"/>
      <c r="U27" s="301" t="s">
        <v>187</v>
      </c>
      <c r="V27" s="370" t="n">
        <v>262.59</v>
      </c>
      <c r="W27" s="91"/>
      <c r="X27" s="91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5.75" hidden="false" customHeight="false" outlineLevel="0" collapsed="false">
      <c r="A28" s="186" t="s">
        <v>172</v>
      </c>
      <c r="B28" s="189"/>
      <c r="C28" s="190"/>
      <c r="D28" s="188"/>
      <c r="E28" s="189"/>
      <c r="F28" s="190"/>
      <c r="G28" s="192"/>
      <c r="H28" s="193"/>
      <c r="I28" s="194"/>
      <c r="J28" s="188"/>
      <c r="K28" s="193"/>
      <c r="L28" s="190"/>
      <c r="M28" s="344"/>
      <c r="N28" s="345"/>
      <c r="O28" s="320"/>
      <c r="P28" s="106" t="n">
        <f aca="false">B28+E28+H28+K28</f>
        <v>0</v>
      </c>
      <c r="Q28" s="303"/>
      <c r="R28" s="189"/>
      <c r="S28" s="193"/>
      <c r="T28" s="368"/>
      <c r="U28" s="80" t="s">
        <v>188</v>
      </c>
      <c r="V28" s="370" t="n">
        <v>1212</v>
      </c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5.75" hidden="false" customHeight="false" outlineLevel="0" collapsed="false">
      <c r="A29" s="186" t="s">
        <v>119</v>
      </c>
      <c r="B29" s="189" t="n">
        <f aca="false">SUM(B26:B26)</f>
        <v>1107</v>
      </c>
      <c r="C29" s="189" t="n">
        <f aca="false">SUM(C26:C26)</f>
        <v>1310</v>
      </c>
      <c r="D29" s="188"/>
      <c r="E29" s="189" t="n">
        <f aca="false">SUM(E26:E26)</f>
        <v>1840</v>
      </c>
      <c r="F29" s="190"/>
      <c r="G29" s="192" t="n">
        <f aca="false">SUM(G26:G26)</f>
        <v>80</v>
      </c>
      <c r="H29" s="193" t="n">
        <f aca="false">SUM(H26:H26)</f>
        <v>1212</v>
      </c>
      <c r="I29" s="305" t="n">
        <v>769</v>
      </c>
      <c r="J29" s="188" t="n">
        <f aca="false">SUM(J26:J26)</f>
        <v>74</v>
      </c>
      <c r="K29" s="193" t="n">
        <f aca="false">SUM(K26:K28)</f>
        <v>2121.87</v>
      </c>
      <c r="L29" s="306" t="n">
        <v>17500</v>
      </c>
      <c r="M29" s="361" t="n">
        <f aca="false">L29+I29+F29+C29</f>
        <v>19579</v>
      </c>
      <c r="N29" s="345" t="n">
        <f aca="false">(B29+E29+H29+K29)*0.085</f>
        <v>533.87395</v>
      </c>
      <c r="O29" s="367" t="n">
        <f aca="false">(B29+C29+E29+F29+H29+I29+K29+L29)*0.05</f>
        <v>1292.9935</v>
      </c>
      <c r="P29" s="106" t="n">
        <f aca="false">SUM(P26:P28)</f>
        <v>7036.57</v>
      </c>
      <c r="Q29" s="205" t="n">
        <f aca="false">SUM(M29:P29)</f>
        <v>28442.43745</v>
      </c>
      <c r="R29" s="189" t="n">
        <f aca="false">P29*S25</f>
        <v>3367.702402</v>
      </c>
      <c r="S29" s="193"/>
      <c r="T29" s="154" t="n">
        <f aca="false">P25-Q29</f>
        <v>11557.56255</v>
      </c>
      <c r="U29" s="80" t="s">
        <v>189</v>
      </c>
      <c r="V29" s="370" t="n">
        <v>750</v>
      </c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5.75" hidden="false" customHeight="false" outlineLevel="0" collapsed="false">
      <c r="A30" s="80"/>
      <c r="B30" s="92"/>
      <c r="C30" s="125"/>
      <c r="D30" s="126"/>
      <c r="E30" s="92"/>
      <c r="F30" s="125"/>
      <c r="G30" s="128"/>
      <c r="H30" s="91"/>
      <c r="I30" s="129"/>
      <c r="J30" s="124"/>
      <c r="K30" s="91"/>
      <c r="L30" s="125"/>
      <c r="M30" s="344"/>
      <c r="N30" s="345"/>
      <c r="O30" s="367"/>
      <c r="P30" s="106"/>
      <c r="Q30" s="294"/>
      <c r="R30" s="92"/>
      <c r="S30" s="91"/>
      <c r="T30" s="130"/>
      <c r="U30" s="80" t="s">
        <v>190</v>
      </c>
      <c r="V30" s="370" t="n">
        <v>1100.63</v>
      </c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5.75" hidden="false" customHeight="false" outlineLevel="0" collapsed="false">
      <c r="A31" s="198" t="s">
        <v>147</v>
      </c>
      <c r="B31" s="117" t="n">
        <f aca="false">B23+B29</f>
        <v>5494</v>
      </c>
      <c r="C31" s="201" t="n">
        <f aca="false">C23+C29</f>
        <v>1310</v>
      </c>
      <c r="D31" s="202"/>
      <c r="E31" s="117" t="n">
        <f aca="false">E23+E29</f>
        <v>5440</v>
      </c>
      <c r="F31" s="201" t="n">
        <f aca="false">F21+F29</f>
        <v>0</v>
      </c>
      <c r="G31" s="116" t="n">
        <f aca="false">G21+G29</f>
        <v>80</v>
      </c>
      <c r="H31" s="203" t="n">
        <f aca="false">H23+H29</f>
        <v>2402.8</v>
      </c>
      <c r="I31" s="204" t="n">
        <f aca="false">I21+I29</f>
        <v>769</v>
      </c>
      <c r="J31" s="205" t="n">
        <f aca="false">J21+J29</f>
        <v>113</v>
      </c>
      <c r="K31" s="203" t="n">
        <f aca="false">K21+K29</f>
        <v>2795.29</v>
      </c>
      <c r="L31" s="201" t="n">
        <f aca="false">L21+L29</f>
        <v>17500</v>
      </c>
      <c r="M31" s="371" t="n">
        <f aca="false">M23+M29</f>
        <v>19579</v>
      </c>
      <c r="N31" s="372" t="n">
        <f aca="false">N23+N29</f>
        <v>1536.7031</v>
      </c>
      <c r="O31" s="324" t="n">
        <f aca="false">O23+O29</f>
        <v>1882.893</v>
      </c>
      <c r="P31" s="106" t="n">
        <f aca="false">P23+P29</f>
        <v>18834.56</v>
      </c>
      <c r="Q31" s="205" t="n">
        <f aca="false">Q23+Q29</f>
        <v>41833.1561</v>
      </c>
      <c r="R31" s="117" t="n">
        <f aca="false">R23+R29</f>
        <v>9014.220416</v>
      </c>
      <c r="S31" s="203" t="n">
        <f aca="false">S23+S29</f>
        <v>0</v>
      </c>
      <c r="T31" s="154" t="n">
        <f aca="false">T23+T29</f>
        <v>8616.8439</v>
      </c>
      <c r="U31" s="80" t="s">
        <v>191</v>
      </c>
      <c r="V31" s="370" t="n">
        <v>17000</v>
      </c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.75" hidden="false" customHeight="false" outlineLevel="0" collapsed="false">
      <c r="A32" s="80"/>
      <c r="B32" s="92"/>
      <c r="C32" s="125"/>
      <c r="D32" s="126"/>
      <c r="E32" s="92"/>
      <c r="F32" s="125"/>
      <c r="G32" s="128"/>
      <c r="H32" s="91"/>
      <c r="I32" s="129"/>
      <c r="J32" s="124"/>
      <c r="K32" s="91"/>
      <c r="L32" s="125"/>
      <c r="M32" s="344"/>
      <c r="N32" s="345"/>
      <c r="O32" s="320"/>
      <c r="P32" s="106"/>
      <c r="Q32" s="294" t="n">
        <f aca="false">SUM(M31:P31)</f>
        <v>41833.1561</v>
      </c>
      <c r="R32" s="92"/>
      <c r="S32" s="91"/>
      <c r="T32" s="164"/>
      <c r="U32" s="80" t="s">
        <v>192</v>
      </c>
      <c r="V32" s="370" t="n">
        <f aca="false">SUM(V26:V31)</f>
        <v>21318.51</v>
      </c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6.5" hidden="false" customHeight="false" outlineLevel="0" collapsed="false">
      <c r="A33" s="80"/>
      <c r="B33" s="92"/>
      <c r="C33" s="125"/>
      <c r="D33" s="126"/>
      <c r="E33" s="92"/>
      <c r="F33" s="125"/>
      <c r="G33" s="128"/>
      <c r="H33" s="91"/>
      <c r="I33" s="129"/>
      <c r="J33" s="124"/>
      <c r="K33" s="91"/>
      <c r="L33" s="125"/>
      <c r="M33" s="344"/>
      <c r="N33" s="345"/>
      <c r="O33" s="320"/>
      <c r="P33" s="102"/>
      <c r="Q33" s="124"/>
      <c r="R33" s="152"/>
      <c r="S33" s="91"/>
      <c r="T33" s="164"/>
      <c r="U33" s="80" t="s">
        <v>193</v>
      </c>
      <c r="V33" s="373" t="n">
        <f aca="false">V32/2</f>
        <v>10659.255</v>
      </c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false" outlineLevel="0" collapsed="false">
      <c r="A34" s="220" t="s">
        <v>149</v>
      </c>
      <c r="B34" s="223"/>
      <c r="C34" s="224"/>
      <c r="D34" s="225" t="n">
        <v>18250</v>
      </c>
      <c r="E34" s="223"/>
      <c r="F34" s="224"/>
      <c r="G34" s="226" t="n">
        <v>18250</v>
      </c>
      <c r="H34" s="227"/>
      <c r="I34" s="228"/>
      <c r="J34" s="222" t="n">
        <v>18420</v>
      </c>
      <c r="K34" s="227"/>
      <c r="L34" s="224"/>
      <c r="M34" s="344"/>
      <c r="N34" s="345"/>
      <c r="O34" s="342" t="s">
        <v>167</v>
      </c>
      <c r="P34" s="106" t="n">
        <v>120000</v>
      </c>
      <c r="Q34" s="310"/>
      <c r="R34" s="223" t="n">
        <f aca="false">P34*S34</f>
        <v>60000</v>
      </c>
      <c r="S34" s="231" t="n">
        <v>0.5</v>
      </c>
      <c r="T34" s="374"/>
      <c r="U34" s="80" t="s">
        <v>194</v>
      </c>
      <c r="V34" s="264" t="n">
        <f aca="false">14500-V33</f>
        <v>3840.745</v>
      </c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.75" hidden="false" customHeight="false" outlineLevel="0" collapsed="false">
      <c r="A35" s="220" t="s">
        <v>146</v>
      </c>
      <c r="B35" s="229" t="n">
        <v>2296</v>
      </c>
      <c r="C35" s="229"/>
      <c r="D35" s="232" t="n">
        <v>67</v>
      </c>
      <c r="E35" s="229" t="n">
        <f aca="false">D35*16.28</f>
        <v>1090.76</v>
      </c>
      <c r="F35" s="224"/>
      <c r="G35" s="226" t="n">
        <v>60.5</v>
      </c>
      <c r="H35" s="229" t="n">
        <v>895.24</v>
      </c>
      <c r="I35" s="228"/>
      <c r="J35" s="222" t="n">
        <f aca="false">35+35+48</f>
        <v>118</v>
      </c>
      <c r="K35" s="229" t="n">
        <v>1805.1</v>
      </c>
      <c r="L35" s="224"/>
      <c r="M35" s="344"/>
      <c r="N35" s="345"/>
      <c r="O35" s="320"/>
      <c r="P35" s="106" t="n">
        <f aca="false">B35+C35+E35+F35+H35+K35+L35</f>
        <v>6087.1</v>
      </c>
      <c r="Q35" s="310"/>
      <c r="R35" s="223"/>
      <c r="S35" s="227"/>
      <c r="T35" s="374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.75" hidden="false" customHeight="false" outlineLevel="0" collapsed="false">
      <c r="A36" s="220" t="s">
        <v>173</v>
      </c>
      <c r="B36" s="229" t="n">
        <v>580</v>
      </c>
      <c r="C36" s="229"/>
      <c r="D36" s="232" t="n">
        <v>45</v>
      </c>
      <c r="E36" s="229" t="n">
        <f aca="false">D36*12.67</f>
        <v>570.15</v>
      </c>
      <c r="F36" s="224"/>
      <c r="G36" s="226"/>
      <c r="H36" s="229"/>
      <c r="I36" s="228"/>
      <c r="J36" s="222" t="n">
        <f aca="false">30+14</f>
        <v>44</v>
      </c>
      <c r="K36" s="229" t="n">
        <v>634.75</v>
      </c>
      <c r="L36" s="224"/>
      <c r="M36" s="344"/>
      <c r="N36" s="345"/>
      <c r="O36" s="320"/>
      <c r="P36" s="106" t="n">
        <f aca="false">B36+C36+E36+F36+H36+I36+K36+L36</f>
        <v>1784.9</v>
      </c>
      <c r="Q36" s="310"/>
      <c r="R36" s="223"/>
      <c r="S36" s="227"/>
      <c r="T36" s="374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.75" hidden="false" customHeight="false" outlineLevel="0" collapsed="false">
      <c r="A37" s="220"/>
      <c r="B37" s="117" t="n">
        <f aca="false">SUM(B35:B36)</f>
        <v>2876</v>
      </c>
      <c r="C37" s="117" t="n">
        <v>3273</v>
      </c>
      <c r="D37" s="223" t="n">
        <f aca="false">SUM(D35:D36)</f>
        <v>112</v>
      </c>
      <c r="E37" s="117" t="n">
        <f aca="false">SUM(E35:E36)</f>
        <v>1660.91</v>
      </c>
      <c r="F37" s="201" t="n">
        <f aca="false">965.95+1539.29+6311.8+2703.6+308+1200+1000+793.44+647+297.4</f>
        <v>15766.48</v>
      </c>
      <c r="G37" s="223" t="n">
        <f aca="false">SUM(G35:G36)</f>
        <v>60.5</v>
      </c>
      <c r="H37" s="117" t="n">
        <f aca="false">SUM(H35:H36)</f>
        <v>895.24</v>
      </c>
      <c r="I37" s="204" t="n">
        <f aca="false">(1029.6+670.33+5935.1)</f>
        <v>7635.03</v>
      </c>
      <c r="J37" s="223" t="n">
        <f aca="false">SUM(J35:J36)</f>
        <v>162</v>
      </c>
      <c r="K37" s="117" t="n">
        <f aca="false">SUM(K35:K36)</f>
        <v>2439.85</v>
      </c>
      <c r="L37" s="223" t="n">
        <f aca="false">70148-800</f>
        <v>69348</v>
      </c>
      <c r="M37" s="361" t="n">
        <f aca="false">L37+I37+F37+C37</f>
        <v>96022.51</v>
      </c>
      <c r="N37" s="345" t="n">
        <f aca="false">(B37+E37+H37+K37)*0.085</f>
        <v>669.12</v>
      </c>
      <c r="O37" s="367" t="n">
        <f aca="false">(B37+C37+E37+F37+H37+I37+K37+L37)*0.05</f>
        <v>5194.7255</v>
      </c>
      <c r="P37" s="106" t="n">
        <f aca="false">SUM(P35:P36)</f>
        <v>7872</v>
      </c>
      <c r="Q37" s="205" t="n">
        <f aca="false">SUM(M37:P37)</f>
        <v>109758.3555</v>
      </c>
      <c r="R37" s="223" t="n">
        <f aca="false">P37*S34</f>
        <v>3936</v>
      </c>
      <c r="S37" s="227"/>
      <c r="T37" s="154" t="n">
        <f aca="false">P34-Q37</f>
        <v>10241.6445</v>
      </c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6.5" hidden="false" customHeight="false" outlineLevel="0" collapsed="false">
      <c r="A38" s="80"/>
      <c r="B38" s="92"/>
      <c r="C38" s="164"/>
      <c r="D38" s="375"/>
      <c r="E38" s="92"/>
      <c r="F38" s="376"/>
      <c r="G38" s="375"/>
      <c r="H38" s="92"/>
      <c r="I38" s="377"/>
      <c r="J38" s="375"/>
      <c r="K38" s="92"/>
      <c r="L38" s="164"/>
      <c r="M38" s="378"/>
      <c r="N38" s="126"/>
      <c r="O38" s="350"/>
      <c r="P38" s="130"/>
      <c r="Q38" s="294"/>
      <c r="R38" s="92"/>
      <c r="S38" s="91"/>
      <c r="T38" s="13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27" hidden="false" customHeight="true" outlineLevel="0" collapsed="false">
      <c r="A39" s="235" t="s">
        <v>31</v>
      </c>
      <c r="B39" s="238"/>
      <c r="C39" s="239"/>
      <c r="D39" s="240"/>
      <c r="E39" s="238"/>
      <c r="F39" s="241"/>
      <c r="G39" s="242"/>
      <c r="H39" s="243"/>
      <c r="I39" s="244"/>
      <c r="J39" s="245"/>
      <c r="K39" s="243"/>
      <c r="L39" s="241"/>
      <c r="M39" s="344"/>
      <c r="N39" s="345"/>
      <c r="O39" s="342" t="s">
        <v>167</v>
      </c>
      <c r="P39" s="106" t="n">
        <f aca="false">R39/S39</f>
        <v>9068.11533639783</v>
      </c>
      <c r="Q39" s="312"/>
      <c r="R39" s="238" t="n">
        <v>4340</v>
      </c>
      <c r="S39" s="249" t="n">
        <v>0.4786</v>
      </c>
      <c r="T39" s="247"/>
      <c r="U39" s="80"/>
      <c r="V39" s="37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.75" hidden="false" customHeight="false" outlineLevel="0" collapsed="false">
      <c r="A40" s="235" t="s">
        <v>146</v>
      </c>
      <c r="B40" s="379" t="n">
        <f aca="false">65.21+374.45+179.08</f>
        <v>618.74</v>
      </c>
      <c r="C40" s="239"/>
      <c r="D40" s="250" t="n">
        <v>80</v>
      </c>
      <c r="E40" s="379" t="n">
        <f aca="false">D40*16.28</f>
        <v>1302.4</v>
      </c>
      <c r="F40" s="379" t="n">
        <v>2000</v>
      </c>
      <c r="G40" s="242" t="n">
        <v>25</v>
      </c>
      <c r="H40" s="379" t="n">
        <v>369.93</v>
      </c>
      <c r="I40" s="379"/>
      <c r="J40" s="245" t="n">
        <v>108.5</v>
      </c>
      <c r="K40" s="379" t="n">
        <v>1645.38</v>
      </c>
      <c r="L40" s="379" t="n">
        <v>840</v>
      </c>
      <c r="M40" s="344"/>
      <c r="N40" s="345"/>
      <c r="O40" s="367"/>
      <c r="P40" s="106" t="n">
        <f aca="false">B40+C40+E40+F40+H40+I40+K40+L40</f>
        <v>6776.45</v>
      </c>
      <c r="Q40" s="312"/>
      <c r="R40" s="238"/>
      <c r="S40" s="243"/>
      <c r="T40" s="247"/>
      <c r="U40" s="80"/>
      <c r="V40" s="37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.75" hidden="false" customHeight="false" outlineLevel="0" collapsed="false">
      <c r="A41" s="235" t="s">
        <v>169</v>
      </c>
      <c r="B41" s="380"/>
      <c r="C41" s="239"/>
      <c r="D41" s="250"/>
      <c r="E41" s="380"/>
      <c r="F41" s="380"/>
      <c r="G41" s="242"/>
      <c r="H41" s="380"/>
      <c r="I41" s="380"/>
      <c r="J41" s="245" t="n">
        <v>10</v>
      </c>
      <c r="K41" s="379" t="n">
        <v>117.48</v>
      </c>
      <c r="L41" s="380"/>
      <c r="M41" s="344"/>
      <c r="N41" s="345"/>
      <c r="O41" s="367"/>
      <c r="P41" s="106"/>
      <c r="Q41" s="312"/>
      <c r="R41" s="238"/>
      <c r="S41" s="243"/>
      <c r="T41" s="252"/>
      <c r="U41" s="80"/>
      <c r="V41" s="264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.75" hidden="false" customHeight="false" outlineLevel="0" collapsed="false">
      <c r="A42" s="235" t="s">
        <v>150</v>
      </c>
      <c r="B42" s="117" t="n">
        <v>618.74</v>
      </c>
      <c r="C42" s="247" t="n">
        <f aca="false">SUM(C40:C40)</f>
        <v>0</v>
      </c>
      <c r="D42" s="250" t="n">
        <f aca="false">SUM(D40:D40)</f>
        <v>80</v>
      </c>
      <c r="E42" s="117" t="n">
        <f aca="false">SUM(E40:E40)</f>
        <v>1302.4</v>
      </c>
      <c r="F42" s="117" t="n">
        <f aca="false">SUM(F40:F40)</f>
        <v>2000</v>
      </c>
      <c r="G42" s="251" t="n">
        <f aca="false">SUM(G40:G40)</f>
        <v>25</v>
      </c>
      <c r="H42" s="117" t="n">
        <f aca="false">SUM(H40:H40)</f>
        <v>369.93</v>
      </c>
      <c r="I42" s="117" t="n">
        <f aca="false">SUM(I40:I40)</f>
        <v>0</v>
      </c>
      <c r="J42" s="313" t="n">
        <f aca="false">SUM(J40:J41)</f>
        <v>118.5</v>
      </c>
      <c r="K42" s="117" t="n">
        <f aca="false">SUM(K40:K41)</f>
        <v>1762.86</v>
      </c>
      <c r="L42" s="117" t="n">
        <f aca="false">SUM(L40:L41)</f>
        <v>840</v>
      </c>
      <c r="M42" s="361" t="n">
        <f aca="false">C42+F42+I42+L42</f>
        <v>2840</v>
      </c>
      <c r="N42" s="345" t="n">
        <f aca="false">(B42+E42+H42+K42)*0.085</f>
        <v>344.58405</v>
      </c>
      <c r="O42" s="367" t="n">
        <f aca="false">(B42+C42+E42+F42+H42+I42+K42+L42)*0.05</f>
        <v>344.6965</v>
      </c>
      <c r="P42" s="106" t="n">
        <f aca="false">SUM(P40:P40)</f>
        <v>6776.45</v>
      </c>
      <c r="Q42" s="205" t="n">
        <f aca="false">SUM(M42:P42)</f>
        <v>10305.73055</v>
      </c>
      <c r="R42" s="238" t="n">
        <f aca="false">Q42*S39</f>
        <v>4932.32264123</v>
      </c>
      <c r="S42" s="243"/>
      <c r="T42" s="115" t="n">
        <f aca="false">P39-Q42</f>
        <v>-1237.61521360217</v>
      </c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s="301" customFormat="true" ht="15.75" hidden="false" customHeight="false" outlineLevel="0" collapsed="false">
      <c r="A43" s="235" t="s">
        <v>151</v>
      </c>
      <c r="B43" s="246"/>
      <c r="C43" s="239"/>
      <c r="D43" s="240"/>
      <c r="E43" s="238"/>
      <c r="F43" s="247"/>
      <c r="G43" s="242"/>
      <c r="H43" s="243"/>
      <c r="I43" s="244"/>
      <c r="J43" s="245"/>
      <c r="K43" s="243"/>
      <c r="L43" s="241"/>
      <c r="M43" s="381"/>
      <c r="N43" s="345" t="s">
        <v>5</v>
      </c>
      <c r="O43" s="346" t="s">
        <v>5</v>
      </c>
      <c r="P43" s="102" t="s">
        <v>5</v>
      </c>
      <c r="Q43" s="237" t="s">
        <v>5</v>
      </c>
      <c r="R43" s="238"/>
      <c r="S43" s="243"/>
      <c r="T43" s="247"/>
      <c r="V43" s="162"/>
      <c r="W43" s="162"/>
      <c r="X43" s="162"/>
    </row>
    <row r="44" s="326" customFormat="true" ht="15.75" hidden="false" customHeight="false" outlineLevel="0" collapsed="false">
      <c r="A44" s="314" t="s">
        <v>174</v>
      </c>
      <c r="B44" s="317" t="n">
        <f aca="false">B37+B42</f>
        <v>3494.74</v>
      </c>
      <c r="C44" s="317"/>
      <c r="D44" s="317"/>
      <c r="E44" s="317"/>
      <c r="F44" s="317" t="n">
        <f aca="false">F37+F42</f>
        <v>17766.48</v>
      </c>
      <c r="G44" s="317"/>
      <c r="H44" s="317"/>
      <c r="I44" s="317" t="n">
        <f aca="false">I37+I42</f>
        <v>7635.03</v>
      </c>
      <c r="J44" s="317"/>
      <c r="K44" s="317"/>
      <c r="L44" s="317" t="n">
        <f aca="false">L37+L42</f>
        <v>70188</v>
      </c>
      <c r="M44" s="317" t="n">
        <f aca="false">M37+M42</f>
        <v>98862.51</v>
      </c>
      <c r="N44" s="382" t="n">
        <f aca="false">N37+N42</f>
        <v>1013.70405</v>
      </c>
      <c r="O44" s="317" t="n">
        <f aca="false">O37+O42</f>
        <v>5539.422</v>
      </c>
      <c r="P44" s="383" t="n">
        <f aca="false">P37+P42</f>
        <v>14648.45</v>
      </c>
      <c r="Q44" s="317" t="n">
        <f aca="false">Q37+Q42</f>
        <v>120064.08605</v>
      </c>
      <c r="R44" s="324"/>
      <c r="S44" s="320"/>
      <c r="T44" s="325"/>
    </row>
    <row r="45" s="301" customFormat="true" ht="15.75" hidden="false" customHeight="false" outlineLevel="0" collapsed="false">
      <c r="A45" s="80" t="s">
        <v>175</v>
      </c>
      <c r="B45" s="92" t="s">
        <v>195</v>
      </c>
      <c r="C45" s="125" t="s">
        <v>195</v>
      </c>
      <c r="D45" s="126"/>
      <c r="E45" s="92"/>
      <c r="F45" s="125"/>
      <c r="G45" s="128"/>
      <c r="H45" s="91"/>
      <c r="I45" s="129"/>
      <c r="J45" s="327"/>
      <c r="K45" s="152"/>
      <c r="L45" s="125"/>
      <c r="M45" s="318" t="n">
        <f aca="false">+M37+M29+M23+M17+M10</f>
        <v>116772.51</v>
      </c>
      <c r="N45" s="345" t="n">
        <f aca="false">N42+N37+N29+N23+N17+N10</f>
        <v>3063.9508</v>
      </c>
      <c r="O45" s="367" t="n">
        <f aca="false">O42+O37+O29+O23+O17+O10</f>
        <v>7782.9495</v>
      </c>
      <c r="P45" s="102" t="n">
        <f aca="false">P42+P37+P29+P23+P17+P10</f>
        <v>39524.7</v>
      </c>
      <c r="Q45" s="124"/>
      <c r="R45" s="152"/>
      <c r="S45" s="91"/>
      <c r="T45" s="130"/>
    </row>
    <row r="46" customFormat="false" ht="15.75" hidden="false" customHeight="false" outlineLevel="0" collapsed="false">
      <c r="A46" s="80"/>
      <c r="B46" s="92"/>
      <c r="C46" s="125"/>
      <c r="D46" s="126"/>
      <c r="E46" s="92"/>
      <c r="F46" s="125"/>
      <c r="G46" s="128"/>
      <c r="H46" s="91"/>
      <c r="I46" s="129"/>
      <c r="J46" s="124"/>
      <c r="K46" s="91"/>
      <c r="L46" s="125"/>
      <c r="M46" s="344"/>
      <c r="N46" s="384" t="s">
        <v>153</v>
      </c>
      <c r="O46" s="367" t="n">
        <f aca="false">N45+O45</f>
        <v>10846.9003</v>
      </c>
      <c r="P46" s="102" t="n">
        <f aca="false">P45+O46</f>
        <v>50371.6003</v>
      </c>
      <c r="Q46" s="124"/>
      <c r="R46" s="152"/>
      <c r="S46" s="91"/>
      <c r="T46" s="130"/>
    </row>
    <row r="47" customFormat="false" ht="15.75" hidden="false" customHeight="false" outlineLevel="0" collapsed="false">
      <c r="A47" s="80"/>
      <c r="B47" s="92"/>
      <c r="C47" s="125"/>
      <c r="D47" s="126"/>
      <c r="E47" s="92"/>
      <c r="F47" s="125"/>
      <c r="G47" s="128"/>
      <c r="H47" s="91"/>
      <c r="I47" s="129"/>
      <c r="J47" s="124"/>
      <c r="K47" s="152" t="n">
        <f aca="false">+K42+K37</f>
        <v>4202.71</v>
      </c>
      <c r="L47" s="125"/>
      <c r="M47" s="344"/>
      <c r="N47" s="384"/>
      <c r="O47" s="320"/>
      <c r="P47" s="102"/>
      <c r="Q47" s="124"/>
      <c r="R47" s="152"/>
      <c r="S47" s="91"/>
      <c r="T47" s="130"/>
    </row>
    <row r="48" customFormat="false" ht="15.75" hidden="false" customHeight="false" outlineLevel="0" collapsed="false">
      <c r="A48" s="80" t="s">
        <v>196</v>
      </c>
      <c r="B48" s="262" t="n">
        <f aca="false">B42+B37+B31+B23+B17+B10</f>
        <v>14255.39</v>
      </c>
      <c r="C48" s="125"/>
      <c r="D48" s="126"/>
      <c r="E48" s="92"/>
      <c r="F48" s="125"/>
      <c r="G48" s="128"/>
      <c r="H48" s="91"/>
      <c r="I48" s="129"/>
      <c r="J48" s="124"/>
      <c r="K48" s="91"/>
      <c r="L48" s="125"/>
      <c r="M48" s="344"/>
      <c r="N48" s="385" t="s">
        <v>157</v>
      </c>
      <c r="O48" s="346"/>
      <c r="P48" s="102" t="n">
        <f aca="false">P6+P12+P19+P25+P34+P39</f>
        <v>186543.115336398</v>
      </c>
      <c r="Q48" s="124"/>
      <c r="R48" s="152"/>
      <c r="S48" s="91"/>
      <c r="T48" s="130"/>
    </row>
    <row r="49" customFormat="false" ht="15.75" hidden="false" customHeight="false" outlineLevel="0" collapsed="false">
      <c r="A49" s="80" t="s">
        <v>136</v>
      </c>
      <c r="B49" s="262"/>
      <c r="C49" s="125"/>
      <c r="D49" s="126"/>
      <c r="E49" s="92"/>
      <c r="F49" s="125"/>
      <c r="G49" s="128"/>
      <c r="H49" s="91"/>
      <c r="I49" s="129"/>
      <c r="J49" s="124"/>
      <c r="K49" s="91"/>
      <c r="L49" s="125"/>
      <c r="M49" s="344"/>
      <c r="N49" s="385" t="s">
        <v>159</v>
      </c>
      <c r="O49" s="320"/>
      <c r="P49" s="102" t="n">
        <f aca="false">P34+P39</f>
        <v>129068.115336398</v>
      </c>
      <c r="Q49" s="268" t="n">
        <f aca="false">Q37+Q42</f>
        <v>120064.08605</v>
      </c>
      <c r="R49" s="152" t="n">
        <f aca="false">P49-Q49</f>
        <v>9004.02928639784</v>
      </c>
      <c r="S49" s="91"/>
      <c r="T49" s="115" t="n">
        <f aca="false">T37+T42</f>
        <v>9004.02928639784</v>
      </c>
    </row>
    <row r="50" customFormat="false" ht="15.75" hidden="false" customHeight="false" outlineLevel="0" collapsed="false">
      <c r="A50" s="386" t="n">
        <v>0.085</v>
      </c>
      <c r="B50" s="92"/>
      <c r="C50" s="125"/>
      <c r="D50" s="126"/>
      <c r="E50" s="92"/>
      <c r="F50" s="267"/>
      <c r="G50" s="265"/>
      <c r="H50" s="91"/>
      <c r="I50" s="129"/>
      <c r="J50" s="124"/>
      <c r="K50" s="91"/>
      <c r="L50" s="125"/>
      <c r="M50" s="344"/>
      <c r="N50" s="385" t="s">
        <v>161</v>
      </c>
      <c r="O50" s="346"/>
      <c r="P50" s="102" t="n">
        <f aca="false">P48-P49</f>
        <v>57475</v>
      </c>
      <c r="Q50" s="124"/>
      <c r="R50" s="152"/>
      <c r="S50" s="91"/>
      <c r="T50" s="130"/>
    </row>
    <row r="51" customFormat="false" ht="15.75" hidden="false" customHeight="false" outlineLevel="0" collapsed="false">
      <c r="A51" s="387" t="n">
        <v>0.05</v>
      </c>
      <c r="B51" s="92"/>
      <c r="C51" s="125"/>
      <c r="D51" s="126"/>
      <c r="E51" s="92"/>
      <c r="F51" s="269"/>
      <c r="G51" s="265"/>
      <c r="H51" s="91"/>
      <c r="I51" s="129"/>
      <c r="J51" s="124"/>
      <c r="K51" s="91"/>
      <c r="L51" s="125"/>
      <c r="M51" s="344"/>
      <c r="N51" s="384" t="s">
        <v>162</v>
      </c>
      <c r="O51" s="320"/>
      <c r="P51" s="106" t="n">
        <f aca="false">Q42+Q37+Q29+Q23+Q17+Q10</f>
        <v>169984.1103</v>
      </c>
      <c r="Q51" s="328" t="n">
        <f aca="false">P51/P50</f>
        <v>2.95753127968682</v>
      </c>
      <c r="R51" s="152"/>
      <c r="S51" s="91"/>
      <c r="T51" s="130"/>
    </row>
    <row r="52" customFormat="false" ht="16.5" hidden="false" customHeight="false" outlineLevel="0" collapsed="false">
      <c r="A52" s="80" t="s">
        <v>197</v>
      </c>
      <c r="B52" s="92"/>
      <c r="C52" s="125"/>
      <c r="D52" s="271"/>
      <c r="E52" s="272"/>
      <c r="F52" s="273"/>
      <c r="G52" s="274"/>
      <c r="H52" s="275"/>
      <c r="I52" s="276"/>
      <c r="J52" s="277"/>
      <c r="K52" s="331"/>
      <c r="L52" s="273"/>
      <c r="M52" s="388"/>
      <c r="N52" s="389" t="s">
        <v>164</v>
      </c>
      <c r="O52" s="390"/>
      <c r="P52" s="391" t="n">
        <f aca="false">P50-P51</f>
        <v>-112509.1103</v>
      </c>
      <c r="Q52" s="330" t="n">
        <f aca="false">P52/P50</f>
        <v>-1.95753127968682</v>
      </c>
      <c r="R52" s="331"/>
      <c r="S52" s="275"/>
      <c r="T52" s="332"/>
    </row>
    <row r="53" customFormat="false" ht="15.75" hidden="false" customHeight="false" outlineLevel="0" collapsed="false">
      <c r="A53" s="80"/>
      <c r="B53" s="92"/>
      <c r="C53" s="234"/>
      <c r="D53" s="333"/>
      <c r="E53" s="334"/>
      <c r="F53" s="162"/>
      <c r="G53" s="162"/>
      <c r="H53" s="162"/>
      <c r="I53" s="162"/>
      <c r="J53" s="162"/>
      <c r="K53" s="162"/>
      <c r="L53" s="162"/>
      <c r="M53" s="381"/>
      <c r="N53" s="392"/>
      <c r="O53" s="381"/>
      <c r="P53" s="393"/>
      <c r="Q53" s="162"/>
      <c r="R53" s="333"/>
      <c r="S53" s="162"/>
      <c r="T53" s="334"/>
    </row>
    <row r="54" customFormat="false" ht="16.5" hidden="false" customHeight="false" outlineLevel="0" collapsed="false">
      <c r="A54" s="80"/>
      <c r="B54" s="272"/>
      <c r="C54" s="281"/>
      <c r="D54" s="333"/>
      <c r="E54" s="334"/>
      <c r="F54" s="162"/>
      <c r="G54" s="162"/>
      <c r="H54" s="162"/>
      <c r="I54" s="162"/>
      <c r="J54" s="162"/>
      <c r="K54" s="162"/>
      <c r="L54" s="162"/>
      <c r="M54" s="381"/>
      <c r="N54" s="392"/>
      <c r="O54" s="381"/>
      <c r="P54" s="393"/>
      <c r="Q54" s="162"/>
      <c r="R54" s="333"/>
      <c r="S54" s="162"/>
      <c r="T54" s="334"/>
    </row>
  </sheetData>
  <mergeCells count="3">
    <mergeCell ref="B1:C1"/>
    <mergeCell ref="G1:H1"/>
    <mergeCell ref="J1:K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5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82" zoomScaleNormal="82" zoomScalePageLayoutView="100" workbookViewId="0">
      <pane xSplit="0" ySplit="1" topLeftCell="A2" activePane="bottomLeft" state="frozen"/>
      <selection pane="topLeft" activeCell="A1" activeCellId="0" sqref="A1"/>
      <selection pane="bottomLeft" activeCell="D55" activeCellId="0" sqref="D55"/>
    </sheetView>
  </sheetViews>
  <sheetFormatPr defaultRowHeight="15.75"/>
  <cols>
    <col collapsed="false" hidden="false" max="1" min="1" style="76" width="20.3826530612245"/>
    <col collapsed="false" hidden="false" max="2" min="2" style="394" width="17.8214285714286"/>
    <col collapsed="false" hidden="false" max="3" min="3" style="77" width="14.8469387755102"/>
    <col collapsed="false" hidden="false" max="4" min="4" style="394" width="10.8010204081633"/>
    <col collapsed="false" hidden="false" max="5" min="5" style="77" width="13.6326530612245"/>
    <col collapsed="false" hidden="false" max="7" min="6" style="77" width="12.5561224489796"/>
    <col collapsed="false" hidden="false" max="8" min="8" style="77" width="12.1479591836735"/>
    <col collapsed="false" hidden="false" max="9" min="9" style="77" width="14.1734693877551"/>
    <col collapsed="false" hidden="false" max="10" min="10" style="77" width="13.6326530612245"/>
    <col collapsed="false" hidden="false" max="11" min="11" style="77" width="11.7448979591837"/>
    <col collapsed="false" hidden="false" max="12" min="12" style="394" width="10.8010204081633"/>
    <col collapsed="false" hidden="false" max="13" min="13" style="394" width="13.6326530612245"/>
    <col collapsed="false" hidden="false" max="14" min="14" style="77" width="11.4744897959184"/>
    <col collapsed="false" hidden="false" max="1025" min="15" style="77" width="11.2040816326531"/>
  </cols>
  <sheetData>
    <row r="1" customFormat="false" ht="31.5" hidden="false" customHeight="false" outlineLevel="0" collapsed="false">
      <c r="A1" s="395"/>
      <c r="B1" s="396" t="s">
        <v>198</v>
      </c>
      <c r="C1" s="396"/>
      <c r="D1" s="338" t="s">
        <v>199</v>
      </c>
      <c r="E1" s="338"/>
      <c r="F1" s="338" t="s">
        <v>200</v>
      </c>
      <c r="G1" s="338"/>
      <c r="H1" s="397" t="s">
        <v>201</v>
      </c>
      <c r="I1" s="397"/>
      <c r="J1" s="189" t="s">
        <v>202</v>
      </c>
      <c r="K1" s="398" t="s">
        <v>203</v>
      </c>
      <c r="L1" s="399" t="s">
        <v>204</v>
      </c>
      <c r="M1" s="400" t="s">
        <v>205</v>
      </c>
      <c r="N1" s="401" t="s">
        <v>206</v>
      </c>
    </row>
    <row r="2" customFormat="false" ht="31.5" hidden="false" customHeight="true" outlineLevel="0" collapsed="false">
      <c r="A2" s="402" t="s">
        <v>207</v>
      </c>
      <c r="B2" s="403" t="n">
        <v>2650</v>
      </c>
      <c r="C2" s="125"/>
      <c r="D2" s="403" t="n">
        <v>2600</v>
      </c>
      <c r="E2" s="125"/>
      <c r="F2" s="294" t="n">
        <v>2600</v>
      </c>
      <c r="G2" s="376"/>
      <c r="H2" s="294" t="n">
        <v>2600</v>
      </c>
      <c r="I2" s="129"/>
      <c r="J2" s="189"/>
      <c r="K2" s="400"/>
      <c r="L2" s="404"/>
      <c r="M2" s="400" t="n">
        <f aca="false">SUM(B2:I2)</f>
        <v>10450</v>
      </c>
      <c r="N2" s="405"/>
    </row>
    <row r="3" customFormat="false" ht="31.5" hidden="false" customHeight="true" outlineLevel="0" collapsed="false">
      <c r="A3" s="402"/>
      <c r="B3" s="403" t="s">
        <v>205</v>
      </c>
      <c r="C3" s="125" t="s">
        <v>202</v>
      </c>
      <c r="D3" s="403" t="s">
        <v>205</v>
      </c>
      <c r="E3" s="125" t="s">
        <v>202</v>
      </c>
      <c r="F3" s="403" t="s">
        <v>205</v>
      </c>
      <c r="G3" s="125" t="s">
        <v>202</v>
      </c>
      <c r="H3" s="403" t="s">
        <v>205</v>
      </c>
      <c r="I3" s="129" t="s">
        <v>202</v>
      </c>
      <c r="J3" s="189"/>
      <c r="K3" s="400"/>
      <c r="L3" s="404"/>
      <c r="M3" s="400"/>
      <c r="N3" s="405"/>
    </row>
    <row r="4" customFormat="false" ht="15.75" hidden="false" customHeight="false" outlineLevel="0" collapsed="false">
      <c r="A4" s="406" t="s">
        <v>142</v>
      </c>
      <c r="B4" s="181" t="n">
        <v>3755</v>
      </c>
      <c r="C4" s="181"/>
      <c r="D4" s="181" t="n">
        <v>2790</v>
      </c>
      <c r="E4" s="181"/>
      <c r="F4" s="181" t="n">
        <v>1191</v>
      </c>
      <c r="G4" s="181"/>
      <c r="H4" s="181" t="n">
        <v>1485.7</v>
      </c>
      <c r="I4" s="173"/>
      <c r="J4" s="189"/>
      <c r="K4" s="400"/>
      <c r="L4" s="407"/>
      <c r="M4" s="400" t="n">
        <f aca="false">B4+D4++F4+H4</f>
        <v>9221.7</v>
      </c>
      <c r="N4" s="405"/>
    </row>
    <row r="5" customFormat="false" ht="15.75" hidden="false" customHeight="false" outlineLevel="0" collapsed="false">
      <c r="A5" s="406" t="s">
        <v>170</v>
      </c>
      <c r="B5" s="181" t="n">
        <v>561</v>
      </c>
      <c r="C5" s="181"/>
      <c r="D5" s="181" t="n">
        <v>812</v>
      </c>
      <c r="E5" s="181"/>
      <c r="F5" s="181"/>
      <c r="G5" s="181"/>
      <c r="H5" s="181" t="n">
        <v>680</v>
      </c>
      <c r="I5" s="173"/>
      <c r="J5" s="189"/>
      <c r="K5" s="400"/>
      <c r="L5" s="407"/>
      <c r="M5" s="400" t="n">
        <f aca="false">B5+D5++F5+H5</f>
        <v>2053</v>
      </c>
      <c r="N5" s="405"/>
    </row>
    <row r="6" customFormat="false" ht="15.75" hidden="false" customHeight="false" outlineLevel="0" collapsed="false">
      <c r="A6" s="406" t="s">
        <v>171</v>
      </c>
      <c r="B6" s="181" t="n">
        <v>75.44</v>
      </c>
      <c r="C6" s="181"/>
      <c r="D6" s="181"/>
      <c r="E6" s="181"/>
      <c r="F6" s="181"/>
      <c r="G6" s="181"/>
      <c r="H6" s="181" t="n">
        <v>461.07</v>
      </c>
      <c r="I6" s="173"/>
      <c r="J6" s="189"/>
      <c r="K6" s="400"/>
      <c r="L6" s="407"/>
      <c r="M6" s="400" t="n">
        <f aca="false">B6+D6++F6+H6</f>
        <v>536.51</v>
      </c>
      <c r="N6" s="405"/>
    </row>
    <row r="7" customFormat="false" ht="15.75" hidden="false" customHeight="false" outlineLevel="0" collapsed="false">
      <c r="A7" s="408" t="s">
        <v>208</v>
      </c>
      <c r="B7" s="113" t="n">
        <f aca="false">SUM(B4:B6)</f>
        <v>4391.44</v>
      </c>
      <c r="C7" s="304" t="n">
        <f aca="false">SUM(C4:C6)</f>
        <v>0</v>
      </c>
      <c r="D7" s="113" t="n">
        <f aca="false">SUM(D4:D6)</f>
        <v>3602</v>
      </c>
      <c r="E7" s="304"/>
      <c r="F7" s="113" t="n">
        <f aca="false">SUM(F4:F6)</f>
        <v>1191</v>
      </c>
      <c r="G7" s="304"/>
      <c r="H7" s="200" t="n">
        <f aca="false">SUM(H4:H6)</f>
        <v>2626.77</v>
      </c>
      <c r="I7" s="409"/>
      <c r="J7" s="117" t="n">
        <f aca="false">I7+G7+E7+C7</f>
        <v>0</v>
      </c>
      <c r="K7" s="117" t="n">
        <f aca="false">(B7+D7+F7+H7)*0.085</f>
        <v>1003.95285</v>
      </c>
      <c r="L7" s="407" t="n">
        <f aca="false">(B7+C7+D7+E7+F7+G7+H7+I7)*0.05</f>
        <v>590.5605</v>
      </c>
      <c r="M7" s="117" t="n">
        <f aca="false">B7+D7++F7+H7</f>
        <v>11811.21</v>
      </c>
      <c r="N7" s="117" t="n">
        <f aca="false">SUM(J7:M7)</f>
        <v>13405.72335</v>
      </c>
    </row>
    <row r="8" customFormat="false" ht="15.75" hidden="false" customHeight="false" outlineLevel="0" collapsed="false">
      <c r="A8" s="406" t="s">
        <v>46</v>
      </c>
      <c r="B8" s="181" t="n">
        <v>6671.4</v>
      </c>
      <c r="C8" s="181" t="n">
        <v>1410</v>
      </c>
      <c r="D8" s="181" t="n">
        <v>6672</v>
      </c>
      <c r="E8" s="181" t="n">
        <v>2780</v>
      </c>
      <c r="F8" s="181" t="n">
        <v>6690</v>
      </c>
      <c r="G8" s="181" t="n">
        <v>32</v>
      </c>
      <c r="H8" s="181" t="n">
        <v>6739</v>
      </c>
      <c r="I8" s="181" t="n">
        <f aca="false">47+365</f>
        <v>412</v>
      </c>
      <c r="J8" s="189" t="n">
        <f aca="false">I8+G8+E8+C8</f>
        <v>4634</v>
      </c>
      <c r="K8" s="400" t="n">
        <f aca="false">(B8+D8+F8+H8)*0.085</f>
        <v>2275.654</v>
      </c>
      <c r="L8" s="407" t="n">
        <f aca="false">(B8+C8+D8+E8+F8+G8+H8+I8)*0.05</f>
        <v>1570.32</v>
      </c>
      <c r="M8" s="400" t="n">
        <f aca="false">B8+D8++F8+H8</f>
        <v>26772.4</v>
      </c>
      <c r="N8" s="407" t="n">
        <f aca="false">SUM(J8:M8)</f>
        <v>35252.374</v>
      </c>
    </row>
    <row r="9" customFormat="false" ht="15.75" hidden="false" customHeight="false" outlineLevel="0" collapsed="false">
      <c r="A9" s="406" t="s">
        <v>209</v>
      </c>
      <c r="B9" s="181" t="n">
        <f aca="false">SUM(B7:B8)</f>
        <v>11062.84</v>
      </c>
      <c r="C9" s="181" t="n">
        <f aca="false">SUM(C7:C8)</f>
        <v>1410</v>
      </c>
      <c r="D9" s="181" t="n">
        <f aca="false">SUM(D7:D8)</f>
        <v>10274</v>
      </c>
      <c r="E9" s="181" t="n">
        <f aca="false">SUM(E7:E8)</f>
        <v>2780</v>
      </c>
      <c r="F9" s="181" t="n">
        <f aca="false">SUM(F7:F8)</f>
        <v>7881</v>
      </c>
      <c r="G9" s="181" t="n">
        <f aca="false">SUM(G7:G8)</f>
        <v>32</v>
      </c>
      <c r="H9" s="181" t="n">
        <f aca="false">SUM(H7:H8)</f>
        <v>9365.77</v>
      </c>
      <c r="I9" s="181" t="n">
        <f aca="false">SUM(I7:I8)</f>
        <v>412</v>
      </c>
      <c r="J9" s="189" t="n">
        <f aca="false">SUM(J7:J8)</f>
        <v>4634</v>
      </c>
      <c r="K9" s="400" t="n">
        <f aca="false">SUM(K7:K8)</f>
        <v>3279.60685</v>
      </c>
      <c r="L9" s="407" t="n">
        <f aca="false">SUM(L7:L8)</f>
        <v>2160.8805</v>
      </c>
      <c r="M9" s="400" t="n">
        <f aca="false">SUM(M7:M8)</f>
        <v>38583.61</v>
      </c>
      <c r="N9" s="407" t="n">
        <f aca="false">SUM(J9:M9)</f>
        <v>48658.09735</v>
      </c>
    </row>
    <row r="10" customFormat="false" ht="15.75" hidden="false" customHeight="false" outlineLevel="0" collapsed="false">
      <c r="A10" s="395"/>
      <c r="B10" s="403"/>
      <c r="C10" s="163" t="n">
        <f aca="false">B8+C8</f>
        <v>8081.4</v>
      </c>
      <c r="D10" s="403"/>
      <c r="E10" s="163" t="n">
        <f aca="false">D8+E8</f>
        <v>9452</v>
      </c>
      <c r="F10" s="124"/>
      <c r="G10" s="163" t="n">
        <f aca="false">F8+G8</f>
        <v>6722</v>
      </c>
      <c r="H10" s="124"/>
      <c r="I10" s="129"/>
      <c r="J10" s="189"/>
      <c r="K10" s="400"/>
      <c r="L10" s="407"/>
      <c r="M10" s="400"/>
      <c r="N10" s="407" t="n">
        <f aca="false">SUM(J10:M10)</f>
        <v>0</v>
      </c>
    </row>
    <row r="11" customFormat="false" ht="27.75" hidden="false" customHeight="true" outlineLevel="0" collapsed="false">
      <c r="A11" s="410" t="s">
        <v>145</v>
      </c>
      <c r="B11" s="411"/>
      <c r="C11" s="190"/>
      <c r="D11" s="411"/>
      <c r="E11" s="190"/>
      <c r="F11" s="188"/>
      <c r="G11" s="190"/>
      <c r="H11" s="188"/>
      <c r="I11" s="194"/>
      <c r="J11" s="189"/>
      <c r="K11" s="400"/>
      <c r="L11" s="404"/>
      <c r="M11" s="400" t="n">
        <v>41800</v>
      </c>
      <c r="N11" s="407" t="n">
        <f aca="false">SUM(J11:M11)</f>
        <v>41800</v>
      </c>
    </row>
    <row r="12" customFormat="false" ht="15.75" hidden="false" customHeight="false" outlineLevel="0" collapsed="false">
      <c r="A12" s="410" t="s">
        <v>146</v>
      </c>
      <c r="B12" s="202" t="n">
        <v>1107</v>
      </c>
      <c r="C12" s="304"/>
      <c r="D12" s="202" t="n">
        <v>1840</v>
      </c>
      <c r="E12" s="190"/>
      <c r="F12" s="200" t="n">
        <v>1212</v>
      </c>
      <c r="G12" s="190"/>
      <c r="H12" s="200" t="n">
        <v>1141</v>
      </c>
      <c r="I12" s="194"/>
      <c r="J12" s="189"/>
      <c r="K12" s="400"/>
      <c r="L12" s="407"/>
      <c r="M12" s="400" t="n">
        <f aca="false">B12+D12+F12+H12</f>
        <v>5300</v>
      </c>
      <c r="N12" s="407" t="n">
        <f aca="false">SUM(J12:M12)</f>
        <v>5300</v>
      </c>
    </row>
    <row r="13" customFormat="false" ht="15.75" hidden="false" customHeight="false" outlineLevel="0" collapsed="false">
      <c r="A13" s="410" t="s">
        <v>142</v>
      </c>
      <c r="B13" s="411"/>
      <c r="C13" s="190"/>
      <c r="D13" s="411"/>
      <c r="E13" s="190"/>
      <c r="F13" s="200" t="n">
        <v>800</v>
      </c>
      <c r="G13" s="190"/>
      <c r="H13" s="200" t="n">
        <v>1034</v>
      </c>
      <c r="I13" s="194"/>
      <c r="J13" s="189"/>
      <c r="K13" s="400"/>
      <c r="L13" s="407"/>
      <c r="M13" s="400" t="n">
        <f aca="false">B13+D13+F13+H13</f>
        <v>1834</v>
      </c>
      <c r="N13" s="407" t="n">
        <f aca="false">SUM(J13:M13)</f>
        <v>1834</v>
      </c>
    </row>
    <row r="14" customFormat="false" ht="15.75" hidden="false" customHeight="false" outlineLevel="0" collapsed="false">
      <c r="A14" s="410" t="s">
        <v>172</v>
      </c>
      <c r="B14" s="411"/>
      <c r="C14" s="190"/>
      <c r="D14" s="411"/>
      <c r="E14" s="190"/>
      <c r="F14" s="188"/>
      <c r="G14" s="190"/>
      <c r="H14" s="188"/>
      <c r="I14" s="194"/>
      <c r="J14" s="189"/>
      <c r="K14" s="400"/>
      <c r="L14" s="407"/>
      <c r="M14" s="400" t="n">
        <f aca="false">B14+D14+F14+H14</f>
        <v>0</v>
      </c>
      <c r="N14" s="407" t="n">
        <f aca="false">SUM(J14:M14)</f>
        <v>0</v>
      </c>
    </row>
    <row r="15" customFormat="false" ht="15.75" hidden="false" customHeight="false" outlineLevel="0" collapsed="false">
      <c r="A15" s="408" t="s">
        <v>210</v>
      </c>
      <c r="B15" s="202" t="n">
        <f aca="false">SUM(B12:B12)</f>
        <v>1107</v>
      </c>
      <c r="C15" s="115" t="n">
        <v>1310</v>
      </c>
      <c r="D15" s="202" t="n">
        <f aca="false">SUM(D12:D12)</f>
        <v>1840</v>
      </c>
      <c r="E15" s="304"/>
      <c r="F15" s="200" t="n">
        <f aca="false">SUM(F12:F14)</f>
        <v>2012</v>
      </c>
      <c r="G15" s="201" t="n">
        <v>769</v>
      </c>
      <c r="H15" s="200" t="n">
        <f aca="false">SUM(H12:H14)</f>
        <v>2175</v>
      </c>
      <c r="I15" s="117" t="n">
        <v>17500</v>
      </c>
      <c r="J15" s="117" t="n">
        <f aca="false">I15+G15+E15+C15</f>
        <v>19579</v>
      </c>
      <c r="K15" s="117" t="n">
        <f aca="false">(B15+D15+F15+H15)*0.085</f>
        <v>606.39</v>
      </c>
      <c r="L15" s="407" t="n">
        <f aca="false">(B15+C15+D15+E15+F15+G15+H15+I15)*0.05</f>
        <v>1335.65</v>
      </c>
      <c r="M15" s="117" t="n">
        <f aca="false">B15+D15+F15+H15</f>
        <v>7134</v>
      </c>
      <c r="N15" s="117" t="n">
        <f aca="false">SUM(J15:M15)</f>
        <v>28655.04</v>
      </c>
    </row>
    <row r="16" customFormat="false" ht="15.75" hidden="false" customHeight="false" outlineLevel="0" collapsed="false">
      <c r="A16" s="410" t="s">
        <v>46</v>
      </c>
      <c r="B16" s="411"/>
      <c r="C16" s="195"/>
      <c r="D16" s="411"/>
      <c r="E16" s="190"/>
      <c r="F16" s="188"/>
      <c r="G16" s="306"/>
      <c r="H16" s="188"/>
      <c r="I16" s="189" t="n">
        <v>1456</v>
      </c>
      <c r="J16" s="189" t="n">
        <f aca="false">I16+G16+E16+C16</f>
        <v>1456</v>
      </c>
      <c r="K16" s="400" t="n">
        <f aca="false">(B16+D16+F16+H16)*0.085</f>
        <v>0</v>
      </c>
      <c r="L16" s="407" t="n">
        <f aca="false">(B16+C16+D16+E16+F16+G16+H16+I16)*0.05</f>
        <v>72.8</v>
      </c>
      <c r="M16" s="400" t="n">
        <f aca="false">B16+D16+F16+H16</f>
        <v>0</v>
      </c>
      <c r="N16" s="407" t="n">
        <f aca="false">SUM(J16:M16)</f>
        <v>1528.8</v>
      </c>
    </row>
    <row r="17" customFormat="false" ht="15.75" hidden="false" customHeight="false" outlineLevel="0" collapsed="false">
      <c r="A17" s="410" t="s">
        <v>211</v>
      </c>
      <c r="B17" s="411" t="n">
        <v>1721.68</v>
      </c>
      <c r="C17" s="195"/>
      <c r="D17" s="411" t="n">
        <v>267</v>
      </c>
      <c r="E17" s="190"/>
      <c r="F17" s="188" t="n">
        <v>937</v>
      </c>
      <c r="G17" s="306"/>
      <c r="H17" s="188" t="n">
        <v>3330</v>
      </c>
      <c r="I17" s="189" t="n">
        <v>2037</v>
      </c>
      <c r="J17" s="189" t="n">
        <f aca="false">I17+G17+E17+C17</f>
        <v>2037</v>
      </c>
      <c r="K17" s="400" t="n">
        <f aca="false">(B17+D17+F17+H17)*0.085</f>
        <v>531.7328</v>
      </c>
      <c r="L17" s="407" t="n">
        <f aca="false">(B17+C17+D17+E17+F17+G17+H17+I17)*0.05</f>
        <v>414.634</v>
      </c>
      <c r="M17" s="400" t="n">
        <f aca="false">B17+D17+F17+H17</f>
        <v>6255.68</v>
      </c>
      <c r="N17" s="407" t="n">
        <f aca="false">SUM(J17:M17)</f>
        <v>9239.0468</v>
      </c>
    </row>
    <row r="18" customFormat="false" ht="15.75" hidden="false" customHeight="false" outlineLevel="0" collapsed="false">
      <c r="A18" s="410" t="s">
        <v>212</v>
      </c>
      <c r="B18" s="411" t="n">
        <f aca="false">SUM(B15:B17)</f>
        <v>2828.68</v>
      </c>
      <c r="C18" s="195" t="n">
        <f aca="false">SUM(C15:C17)</f>
        <v>1310</v>
      </c>
      <c r="D18" s="411" t="n">
        <f aca="false">SUM(D15:D17)</f>
        <v>2107</v>
      </c>
      <c r="E18" s="195"/>
      <c r="F18" s="411" t="n">
        <f aca="false">SUM(F15:F17)</f>
        <v>2949</v>
      </c>
      <c r="G18" s="195" t="n">
        <f aca="false">SUM(G15:G17)</f>
        <v>769</v>
      </c>
      <c r="H18" s="411" t="n">
        <f aca="false">SUM(H15:H17)</f>
        <v>5505</v>
      </c>
      <c r="I18" s="189" t="n">
        <f aca="false">SUM(I15:I17)</f>
        <v>20993</v>
      </c>
      <c r="J18" s="189" t="n">
        <f aca="false">SUM(J15:J17)</f>
        <v>23072</v>
      </c>
      <c r="K18" s="400" t="n">
        <f aca="false">SUM(K15:K17)</f>
        <v>1138.1228</v>
      </c>
      <c r="L18" s="407" t="n">
        <f aca="false">SUM(L15:L17)</f>
        <v>1823.084</v>
      </c>
      <c r="M18" s="400" t="n">
        <f aca="false">B18+D18+F18+H18</f>
        <v>13389.68</v>
      </c>
      <c r="N18" s="407" t="n">
        <f aca="false">SUM(J18:M18)</f>
        <v>39422.8868</v>
      </c>
    </row>
    <row r="19" customFormat="false" ht="15.75" hidden="false" customHeight="false" outlineLevel="0" collapsed="false">
      <c r="A19" s="412"/>
      <c r="B19" s="411"/>
      <c r="C19" s="195"/>
      <c r="D19" s="411"/>
      <c r="E19" s="195"/>
      <c r="F19" s="411"/>
      <c r="G19" s="195"/>
      <c r="H19" s="411"/>
      <c r="I19" s="368"/>
      <c r="J19" s="189"/>
      <c r="K19" s="400"/>
      <c r="L19" s="407"/>
      <c r="M19" s="400"/>
      <c r="N19" s="407" t="n">
        <f aca="false">SUM(J19:M19)</f>
        <v>0</v>
      </c>
    </row>
    <row r="20" customFormat="false" ht="15.75" hidden="false" customHeight="false" outlineLevel="0" collapsed="false">
      <c r="A20" s="408" t="s">
        <v>147</v>
      </c>
      <c r="B20" s="202" t="n">
        <f aca="false">+B9+B18</f>
        <v>13891.52</v>
      </c>
      <c r="C20" s="115" t="n">
        <f aca="false">+C9+C18</f>
        <v>2720</v>
      </c>
      <c r="D20" s="202" t="n">
        <f aca="false">+D9+D18</f>
        <v>12381</v>
      </c>
      <c r="E20" s="202" t="n">
        <f aca="false">+E9+E18</f>
        <v>2780</v>
      </c>
      <c r="F20" s="202" t="n">
        <f aca="false">+F9+F18</f>
        <v>10830</v>
      </c>
      <c r="G20" s="115" t="n">
        <f aca="false">+G9+G18</f>
        <v>801</v>
      </c>
      <c r="H20" s="202" t="n">
        <f aca="false">+H9+H18</f>
        <v>14870.77</v>
      </c>
      <c r="I20" s="154" t="n">
        <f aca="false">+I9+I18</f>
        <v>21405</v>
      </c>
      <c r="J20" s="189" t="n">
        <f aca="false">+J9+J18</f>
        <v>27706</v>
      </c>
      <c r="K20" s="400" t="n">
        <f aca="false">+K9+K18</f>
        <v>4417.72965</v>
      </c>
      <c r="L20" s="407" t="n">
        <f aca="false">+L9+L18</f>
        <v>3983.9645</v>
      </c>
      <c r="M20" s="400" t="n">
        <f aca="false">+M9+M18</f>
        <v>51973.29</v>
      </c>
      <c r="N20" s="400" t="n">
        <f aca="false">+N9+N18</f>
        <v>88080.98415</v>
      </c>
    </row>
    <row r="21" customFormat="false" ht="16.5" hidden="false" customHeight="false" outlineLevel="0" collapsed="false">
      <c r="A21" s="395"/>
      <c r="B21" s="413" t="s">
        <v>195</v>
      </c>
      <c r="C21" s="414" t="s">
        <v>195</v>
      </c>
      <c r="D21" s="415" t="s">
        <v>195</v>
      </c>
      <c r="E21" s="414" t="s">
        <v>195</v>
      </c>
      <c r="F21" s="416" t="s">
        <v>195</v>
      </c>
      <c r="G21" s="414" t="s">
        <v>195</v>
      </c>
      <c r="H21" s="416" t="s">
        <v>195</v>
      </c>
      <c r="I21" s="417" t="s">
        <v>195</v>
      </c>
      <c r="J21" s="418"/>
      <c r="K21" s="419"/>
      <c r="L21" s="420"/>
      <c r="M21" s="400"/>
      <c r="N21" s="407" t="n">
        <f aca="false">SUM(J20:M20)</f>
        <v>88080.98415</v>
      </c>
    </row>
    <row r="22" customFormat="false" ht="15.75" hidden="false" customHeight="false" outlineLevel="0" collapsed="false">
      <c r="A22" s="0"/>
      <c r="B22" s="0"/>
      <c r="C22" s="421" t="s">
        <v>213</v>
      </c>
      <c r="D22" s="92" t="s">
        <v>214</v>
      </c>
      <c r="E22" s="92"/>
      <c r="F22" s="92" t="s">
        <v>25</v>
      </c>
      <c r="G22" s="92"/>
      <c r="H22" s="91" t="s">
        <v>215</v>
      </c>
      <c r="I22" s="91"/>
      <c r="J22" s="91" t="s">
        <v>216</v>
      </c>
      <c r="K22" s="91"/>
      <c r="L22" s="0"/>
    </row>
    <row r="23" customFormat="false" ht="15.75" hidden="false" customHeight="false" outlineLevel="0" collapsed="false">
      <c r="A23" s="422" t="s">
        <v>217</v>
      </c>
      <c r="B23" s="423" t="s">
        <v>218</v>
      </c>
      <c r="C23" s="424" t="n">
        <v>10000</v>
      </c>
      <c r="D23" s="117" t="n">
        <f aca="false">N7</f>
        <v>13405.72335</v>
      </c>
      <c r="E23" s="117"/>
      <c r="F23" s="117" t="n">
        <f aca="false">+D23+D24</f>
        <v>42060.76335</v>
      </c>
      <c r="G23" s="117"/>
      <c r="H23" s="407" t="n">
        <f aca="false">C23-D23</f>
        <v>-3405.72335</v>
      </c>
      <c r="I23" s="407"/>
      <c r="J23" s="425" t="n">
        <f aca="false">H23+H24</f>
        <v>7939.23665</v>
      </c>
      <c r="K23" s="425" t="n">
        <f aca="false">+C23+C24-F23</f>
        <v>7939.23665</v>
      </c>
      <c r="L23" s="426"/>
    </row>
    <row r="24" customFormat="false" ht="15.75" hidden="false" customHeight="false" outlineLevel="0" collapsed="false">
      <c r="A24" s="422"/>
      <c r="B24" s="423" t="s">
        <v>219</v>
      </c>
      <c r="C24" s="427" t="n">
        <v>40000</v>
      </c>
      <c r="D24" s="117" t="n">
        <f aca="false">N15</f>
        <v>28655.04</v>
      </c>
      <c r="E24" s="117"/>
      <c r="F24" s="407"/>
      <c r="G24" s="407"/>
      <c r="H24" s="407" t="n">
        <f aca="false">C24-D24</f>
        <v>11344.96</v>
      </c>
      <c r="I24" s="407"/>
      <c r="J24" s="428"/>
      <c r="K24" s="425"/>
      <c r="L24" s="426"/>
    </row>
    <row r="25" customFormat="false" ht="15.75" hidden="false" customHeight="false" outlineLevel="0" collapsed="false">
      <c r="A25" s="429" t="s">
        <v>46</v>
      </c>
      <c r="B25" s="430" t="s">
        <v>218</v>
      </c>
      <c r="C25" s="431" t="n">
        <v>40000</v>
      </c>
      <c r="D25" s="117" t="n">
        <f aca="false">N8</f>
        <v>35252.374</v>
      </c>
      <c r="E25" s="117"/>
      <c r="F25" s="117" t="n">
        <f aca="false">+D25+D26</f>
        <v>36781.174</v>
      </c>
      <c r="G25" s="117"/>
      <c r="H25" s="432" t="n">
        <f aca="false">C25-D25</f>
        <v>4747.626</v>
      </c>
      <c r="I25" s="432"/>
      <c r="J25" s="433" t="n">
        <f aca="false">H25+H26</f>
        <v>3218.826</v>
      </c>
      <c r="K25" s="425" t="n">
        <f aca="false">+C25+C26-F25</f>
        <v>3218.82599999999</v>
      </c>
      <c r="L25" s="426"/>
    </row>
    <row r="26" customFormat="false" ht="15.75" hidden="false" customHeight="false" outlineLevel="0" collapsed="false">
      <c r="A26" s="429"/>
      <c r="B26" s="430" t="s">
        <v>219</v>
      </c>
      <c r="C26" s="431" t="n">
        <v>0</v>
      </c>
      <c r="D26" s="117" t="n">
        <f aca="false">N16</f>
        <v>1528.8</v>
      </c>
      <c r="E26" s="117"/>
      <c r="F26" s="432"/>
      <c r="G26" s="432"/>
      <c r="H26" s="432" t="n">
        <f aca="false">C26-D26</f>
        <v>-1528.8</v>
      </c>
      <c r="I26" s="432"/>
      <c r="J26" s="434"/>
      <c r="K26" s="434"/>
      <c r="L26" s="426"/>
    </row>
    <row r="27" customFormat="false" ht="15.75" hidden="false" customHeight="false" outlineLevel="0" collapsed="false">
      <c r="A27" s="422" t="s">
        <v>211</v>
      </c>
      <c r="B27" s="423" t="s">
        <v>218</v>
      </c>
      <c r="C27" s="427" t="n">
        <v>0</v>
      </c>
      <c r="D27" s="117" t="n">
        <v>0</v>
      </c>
      <c r="E27" s="117"/>
      <c r="F27" s="407"/>
      <c r="G27" s="407"/>
      <c r="H27" s="407" t="n">
        <f aca="false">C27-D27</f>
        <v>0</v>
      </c>
      <c r="I27" s="407"/>
      <c r="J27" s="425" t="n">
        <f aca="false">H27+H28</f>
        <v>10760.9532</v>
      </c>
      <c r="K27" s="428"/>
      <c r="L27" s="426"/>
    </row>
    <row r="28" customFormat="false" ht="15.75" hidden="false" customHeight="false" outlineLevel="0" collapsed="false">
      <c r="A28" s="422"/>
      <c r="B28" s="423" t="s">
        <v>219</v>
      </c>
      <c r="C28" s="427" t="n">
        <v>20000</v>
      </c>
      <c r="D28" s="117" t="n">
        <f aca="false">N17</f>
        <v>9239.0468</v>
      </c>
      <c r="E28" s="117"/>
      <c r="F28" s="117" t="n">
        <f aca="false">D28</f>
        <v>9239.0468</v>
      </c>
      <c r="G28" s="117"/>
      <c r="H28" s="407" t="n">
        <f aca="false">C28-D28</f>
        <v>10760.9532</v>
      </c>
      <c r="I28" s="407"/>
      <c r="J28" s="428"/>
      <c r="K28" s="428"/>
      <c r="L28" s="426"/>
    </row>
    <row r="29" customFormat="false" ht="15.75" hidden="false" customHeight="false" outlineLevel="0" collapsed="false">
      <c r="A29" s="435" t="s">
        <v>220</v>
      </c>
      <c r="B29" s="436" t="s">
        <v>219</v>
      </c>
      <c r="C29" s="437" t="n">
        <v>12500</v>
      </c>
      <c r="D29" s="92" t="n">
        <v>0</v>
      </c>
      <c r="E29" s="92"/>
      <c r="F29" s="92"/>
      <c r="G29" s="92"/>
      <c r="H29" s="92"/>
      <c r="I29" s="92"/>
      <c r="J29" s="91"/>
      <c r="K29" s="91"/>
      <c r="L29" s="426"/>
    </row>
    <row r="30" customFormat="false" ht="15.75" hidden="false" customHeight="false" outlineLevel="0" collapsed="false">
      <c r="A30" s="429" t="s">
        <v>5</v>
      </c>
      <c r="B30" s="430"/>
      <c r="C30" s="431" t="n">
        <f aca="false">SUM(C23:C29)</f>
        <v>122500</v>
      </c>
      <c r="D30" s="432" t="n">
        <f aca="false">SUM(D23:D28)</f>
        <v>88080.98415</v>
      </c>
      <c r="E30" s="432" t="n">
        <f aca="false">SUM(E23:E28)</f>
        <v>0</v>
      </c>
      <c r="F30" s="432" t="n">
        <f aca="false">SUM(F23:G29)</f>
        <v>88080.98415</v>
      </c>
      <c r="G30" s="432"/>
      <c r="H30" s="432" t="n">
        <f aca="false">SUM(H23:H28)</f>
        <v>21919.01585</v>
      </c>
      <c r="I30" s="432" t="n">
        <f aca="false">SUM(I23:I28)</f>
        <v>0</v>
      </c>
      <c r="J30" s="432" t="n">
        <f aca="false">SUM(J23:J28)</f>
        <v>21919.01585</v>
      </c>
      <c r="K30" s="432"/>
      <c r="L30" s="426"/>
    </row>
    <row r="31" customFormat="false" ht="15.75" hidden="false" customHeight="false" outlineLevel="0" collapsed="false">
      <c r="A31" s="0"/>
      <c r="B31" s="438"/>
      <c r="C31" s="0"/>
      <c r="D31" s="0"/>
      <c r="E31" s="0"/>
      <c r="F31" s="0"/>
      <c r="G31" s="0"/>
      <c r="H31" s="0"/>
      <c r="I31" s="0"/>
      <c r="J31" s="0"/>
      <c r="K31" s="0"/>
    </row>
    <row r="32" customFormat="false" ht="15.75" hidden="false" customHeight="false" outlineLevel="0" collapsed="false">
      <c r="A32" s="0"/>
      <c r="B32" s="438"/>
      <c r="C32" s="0"/>
      <c r="D32" s="0"/>
      <c r="E32" s="0"/>
      <c r="F32" s="0"/>
      <c r="G32" s="0"/>
      <c r="H32" s="0"/>
      <c r="I32" s="0"/>
      <c r="J32" s="0"/>
      <c r="K32" s="0"/>
    </row>
    <row r="33" customFormat="false" ht="15.75" hidden="false" customHeight="false" outlineLevel="0" collapsed="false">
      <c r="A33" s="439" t="s">
        <v>221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</row>
    <row r="34" customFormat="false" ht="15.75" hidden="false" customHeight="false" outlineLevel="0" collapsed="false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r="35" customFormat="false" ht="16.5" hidden="false" customHeight="false" outlineLevel="0" collapsed="false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r="36" customFormat="false" ht="15.75" hidden="false" customHeight="false" outlineLevel="0" collapsed="false">
      <c r="A36" s="440"/>
      <c r="B36" s="441" t="s">
        <v>222</v>
      </c>
      <c r="C36" s="441"/>
      <c r="D36" s="441"/>
      <c r="E36" s="441"/>
      <c r="F36" s="441"/>
      <c r="G36" s="442" t="s">
        <v>223</v>
      </c>
      <c r="H36" s="442"/>
      <c r="I36" s="442"/>
      <c r="J36" s="442"/>
      <c r="K36" s="442"/>
    </row>
    <row r="37" customFormat="false" ht="16.5" hidden="false" customHeight="false" outlineLevel="0" collapsed="false">
      <c r="A37" s="443"/>
      <c r="B37" s="444" t="s">
        <v>224</v>
      </c>
      <c r="C37" s="444" t="s">
        <v>225</v>
      </c>
      <c r="D37" s="444" t="s">
        <v>226</v>
      </c>
      <c r="E37" s="444" t="s">
        <v>227</v>
      </c>
      <c r="F37" s="445" t="s">
        <v>228</v>
      </c>
      <c r="G37" s="443" t="s">
        <v>224</v>
      </c>
      <c r="H37" s="444" t="s">
        <v>225</v>
      </c>
      <c r="I37" s="444" t="s">
        <v>226</v>
      </c>
      <c r="J37" s="444" t="s">
        <v>227</v>
      </c>
      <c r="K37" s="445" t="s">
        <v>228</v>
      </c>
    </row>
    <row r="38" customFormat="false" ht="15.75" hidden="false" customHeight="false" outlineLevel="0" collapsed="false">
      <c r="A38" s="446" t="s">
        <v>46</v>
      </c>
      <c r="B38" s="447" t="n">
        <v>9105.04</v>
      </c>
      <c r="C38" s="447" t="n">
        <v>10491.52</v>
      </c>
      <c r="D38" s="447" t="n">
        <v>7626.97</v>
      </c>
      <c r="E38" s="447" t="n">
        <v>9609.69</v>
      </c>
      <c r="F38" s="448" t="n">
        <v>36833.22</v>
      </c>
      <c r="G38" s="449" t="n">
        <v>4552.52</v>
      </c>
      <c r="H38" s="450" t="n">
        <v>5245.79</v>
      </c>
      <c r="I38" s="451" t="n">
        <v>3813.48</v>
      </c>
      <c r="J38" s="451" t="n">
        <v>5000</v>
      </c>
      <c r="K38" s="452" t="n">
        <v>18611.79</v>
      </c>
    </row>
    <row r="39" customFormat="false" ht="15.75" hidden="false" customHeight="false" outlineLevel="0" collapsed="false">
      <c r="A39" s="453" t="s">
        <v>229</v>
      </c>
      <c r="B39" s="454" t="n">
        <v>9105.04</v>
      </c>
      <c r="C39" s="455" t="n">
        <v>10491.52</v>
      </c>
      <c r="D39" s="455" t="n">
        <v>7626.97</v>
      </c>
      <c r="E39" s="455" t="n">
        <v>8153.94</v>
      </c>
      <c r="F39" s="456" t="n">
        <v>35377.47</v>
      </c>
      <c r="G39" s="457"/>
      <c r="H39" s="458"/>
      <c r="I39" s="458"/>
      <c r="J39" s="458"/>
      <c r="K39" s="459"/>
    </row>
    <row r="40" customFormat="false" ht="16.5" hidden="false" customHeight="false" outlineLevel="0" collapsed="false">
      <c r="A40" s="460" t="s">
        <v>230</v>
      </c>
      <c r="B40" s="461" t="n">
        <v>0</v>
      </c>
      <c r="C40" s="462" t="n">
        <v>0</v>
      </c>
      <c r="D40" s="462" t="n">
        <v>0</v>
      </c>
      <c r="E40" s="462" t="n">
        <v>1455.75</v>
      </c>
      <c r="F40" s="456" t="n">
        <v>1455.75</v>
      </c>
      <c r="G40" s="463"/>
      <c r="H40" s="444"/>
      <c r="I40" s="444"/>
      <c r="J40" s="444"/>
      <c r="K40" s="445"/>
    </row>
    <row r="41" customFormat="false" ht="15.75" hidden="false" customHeight="false" outlineLevel="0" collapsed="false">
      <c r="A41" s="446" t="s">
        <v>52</v>
      </c>
      <c r="B41" s="447" t="n">
        <v>7804.83</v>
      </c>
      <c r="C41" s="447" t="n">
        <v>6124.14</v>
      </c>
      <c r="D41" s="447" t="n">
        <v>4443.22</v>
      </c>
      <c r="E41" s="447" t="n">
        <v>23345.19</v>
      </c>
      <c r="F41" s="448" t="n">
        <v>41717.38</v>
      </c>
      <c r="G41" s="449" t="n">
        <v>3902.42</v>
      </c>
      <c r="H41" s="450" t="n">
        <v>3062.07</v>
      </c>
      <c r="I41" s="451" t="n">
        <v>3815</v>
      </c>
      <c r="J41" s="451" t="n">
        <v>18000</v>
      </c>
      <c r="K41" s="452" t="n">
        <v>28779.49</v>
      </c>
    </row>
    <row r="42" customFormat="false" ht="15.75" hidden="false" customHeight="false" outlineLevel="0" collapsed="false">
      <c r="A42" s="453" t="s">
        <v>229</v>
      </c>
      <c r="B42" s="464" t="n">
        <v>7804.83</v>
      </c>
      <c r="C42" s="458" t="n">
        <v>6124.14</v>
      </c>
      <c r="D42" s="458" t="n">
        <v>4443.22</v>
      </c>
      <c r="E42" s="458"/>
      <c r="F42" s="465"/>
      <c r="G42" s="457"/>
      <c r="H42" s="458"/>
      <c r="I42" s="458"/>
      <c r="J42" s="458"/>
      <c r="K42" s="459"/>
    </row>
    <row r="43" customFormat="false" ht="16.5" hidden="false" customHeight="false" outlineLevel="0" collapsed="false">
      <c r="A43" s="460" t="s">
        <v>230</v>
      </c>
      <c r="B43" s="466" t="n">
        <v>0</v>
      </c>
      <c r="C43" s="444" t="n">
        <v>0</v>
      </c>
      <c r="D43" s="444" t="n">
        <v>0</v>
      </c>
      <c r="E43" s="444"/>
      <c r="F43" s="465" t="n">
        <v>0</v>
      </c>
      <c r="G43" s="463"/>
      <c r="H43" s="444"/>
      <c r="I43" s="444"/>
      <c r="J43" s="444"/>
      <c r="K43" s="445"/>
    </row>
    <row r="44" customFormat="false" ht="15.75" hidden="false" customHeight="false" outlineLevel="0" collapsed="false">
      <c r="A44" s="446" t="s">
        <v>231</v>
      </c>
      <c r="B44" s="447" t="n">
        <v>1955.46</v>
      </c>
      <c r="C44" s="447" t="n">
        <v>302.94</v>
      </c>
      <c r="D44" s="447" t="n">
        <v>1063.61</v>
      </c>
      <c r="E44" s="447" t="n">
        <v>5919.02</v>
      </c>
      <c r="F44" s="448" t="n">
        <v>9241.03</v>
      </c>
      <c r="G44" s="449" t="n">
        <v>977.73</v>
      </c>
      <c r="H44" s="450" t="n">
        <v>151.47</v>
      </c>
      <c r="I44" s="451" t="n">
        <v>531.8</v>
      </c>
      <c r="J44" s="451" t="n">
        <v>3000</v>
      </c>
      <c r="K44" s="452" t="n">
        <v>4661</v>
      </c>
    </row>
    <row r="45" customFormat="false" ht="15.75" hidden="false" customHeight="false" outlineLevel="0" collapsed="false">
      <c r="A45" s="453" t="s">
        <v>229</v>
      </c>
      <c r="B45" s="464" t="n">
        <v>1955.46</v>
      </c>
      <c r="C45" s="458" t="n">
        <v>302.94</v>
      </c>
      <c r="D45" s="458" t="n">
        <v>1063.61</v>
      </c>
      <c r="E45" s="458" t="n">
        <v>0</v>
      </c>
      <c r="F45" s="465" t="n">
        <v>3322.01</v>
      </c>
      <c r="G45" s="457"/>
      <c r="H45" s="458"/>
      <c r="I45" s="458"/>
      <c r="J45" s="458"/>
      <c r="K45" s="459"/>
    </row>
    <row r="46" customFormat="false" ht="16.5" hidden="false" customHeight="false" outlineLevel="0" collapsed="false">
      <c r="A46" s="460" t="s">
        <v>230</v>
      </c>
      <c r="B46" s="466" t="n">
        <v>0</v>
      </c>
      <c r="C46" s="444" t="n">
        <v>0</v>
      </c>
      <c r="D46" s="444" t="n">
        <v>0</v>
      </c>
      <c r="E46" s="444" t="n">
        <v>5919.02</v>
      </c>
      <c r="F46" s="465" t="n">
        <v>5919.02</v>
      </c>
      <c r="G46" s="463"/>
      <c r="H46" s="444"/>
      <c r="I46" s="444"/>
      <c r="J46" s="444"/>
      <c r="K46" s="445"/>
    </row>
    <row r="47" customFormat="false" ht="15.75" hidden="false" customHeight="false" outlineLevel="0" collapsed="false">
      <c r="A47" s="467" t="s">
        <v>71</v>
      </c>
      <c r="B47" s="468" t="n">
        <v>0</v>
      </c>
      <c r="C47" s="468" t="n">
        <v>0</v>
      </c>
      <c r="D47" s="468" t="n">
        <v>0</v>
      </c>
      <c r="E47" s="468" t="n">
        <v>0</v>
      </c>
      <c r="F47" s="469" t="n">
        <v>0</v>
      </c>
      <c r="G47" s="470"/>
      <c r="H47" s="471"/>
      <c r="I47" s="471"/>
      <c r="J47" s="471"/>
      <c r="K47" s="472" t="n">
        <v>0</v>
      </c>
    </row>
    <row r="48" customFormat="false" ht="15.75" hidden="false" customHeight="false" outlineLevel="0" collapsed="false">
      <c r="A48" s="453" t="s">
        <v>229</v>
      </c>
      <c r="B48" s="464" t="n">
        <v>0</v>
      </c>
      <c r="C48" s="458" t="n">
        <v>0</v>
      </c>
      <c r="D48" s="458"/>
      <c r="E48" s="458"/>
      <c r="F48" s="465" t="n">
        <v>0</v>
      </c>
      <c r="G48" s="457"/>
      <c r="H48" s="458"/>
      <c r="I48" s="458"/>
      <c r="J48" s="458"/>
      <c r="K48" s="459"/>
    </row>
    <row r="49" customFormat="false" ht="16.5" hidden="false" customHeight="false" outlineLevel="0" collapsed="false">
      <c r="A49" s="460" t="s">
        <v>230</v>
      </c>
      <c r="B49" s="473" t="n">
        <v>0</v>
      </c>
      <c r="C49" s="474" t="n">
        <v>0</v>
      </c>
      <c r="D49" s="474"/>
      <c r="E49" s="474"/>
      <c r="F49" s="475" t="n">
        <v>0</v>
      </c>
      <c r="G49" s="463"/>
      <c r="H49" s="444"/>
      <c r="I49" s="444"/>
      <c r="J49" s="444"/>
      <c r="K49" s="445"/>
    </row>
    <row r="50" customFormat="false" ht="15.75" hidden="false" customHeight="false" outlineLevel="0" collapsed="false">
      <c r="A50" s="439"/>
      <c r="B50" s="458"/>
      <c r="C50" s="458"/>
      <c r="D50" s="458"/>
      <c r="E50" s="458"/>
      <c r="F50" s="458" t="n">
        <v>87791.63</v>
      </c>
      <c r="G50" s="439"/>
      <c r="H50" s="439"/>
      <c r="I50" s="439"/>
      <c r="J50" s="439"/>
      <c r="K50" s="439" t="n">
        <v>52052.28</v>
      </c>
    </row>
    <row r="51" customFormat="false" ht="15.75" hidden="false" customHeight="false" outlineLevel="0" collapsed="false">
      <c r="B51" s="476"/>
      <c r="C51" s="91" t="s">
        <v>232</v>
      </c>
      <c r="D51" s="92"/>
      <c r="E51" s="91"/>
      <c r="F51" s="152" t="n">
        <f aca="false">D30-F50</f>
        <v>289.354149999999</v>
      </c>
    </row>
    <row r="52" customFormat="false" ht="15.75" hidden="false" customHeight="false" outlineLevel="0" collapsed="false">
      <c r="B52" s="476"/>
    </row>
  </sheetData>
  <mergeCells count="33">
    <mergeCell ref="B1:C1"/>
    <mergeCell ref="D1:E1"/>
    <mergeCell ref="F1:G1"/>
    <mergeCell ref="H1:I1"/>
    <mergeCell ref="D22:E22"/>
    <mergeCell ref="F22:G22"/>
    <mergeCell ref="H22:I22"/>
    <mergeCell ref="D23:E23"/>
    <mergeCell ref="F23:G23"/>
    <mergeCell ref="H23:I23"/>
    <mergeCell ref="D24:E24"/>
    <mergeCell ref="F24:G24"/>
    <mergeCell ref="H24:I24"/>
    <mergeCell ref="D25:E25"/>
    <mergeCell ref="F25:G25"/>
    <mergeCell ref="H25:I25"/>
    <mergeCell ref="D26:E26"/>
    <mergeCell ref="F26:G26"/>
    <mergeCell ref="H26:I26"/>
    <mergeCell ref="D27:E27"/>
    <mergeCell ref="F27:G27"/>
    <mergeCell ref="H27:I27"/>
    <mergeCell ref="D28:E28"/>
    <mergeCell ref="F28:G28"/>
    <mergeCell ref="H28:I28"/>
    <mergeCell ref="D29:E29"/>
    <mergeCell ref="F29:G29"/>
    <mergeCell ref="H29:I29"/>
    <mergeCell ref="D30:E30"/>
    <mergeCell ref="F30:G30"/>
    <mergeCell ref="H30:I30"/>
    <mergeCell ref="B36:F36"/>
    <mergeCell ref="G36:K36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LibreOffice/5.0.1.2$Windows_x86 LibreOffice_project/81898c9f5c0d43f3473ba111d7b351050be20261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2017-04-20T16:22:48Z</dcterms:created>
  <dc:creator>Utilisateur Windows</dc:creator>
  <dc:language>fr-FR</dc:language>
  <cp:lastModifiedBy>Utilisateur Windows</cp:lastModifiedBy>
  <cp:lastPrinted>2018-01-24T10:10:04Z</cp:lastPrinted>
  <dcterms:modified xsi:type="dcterms:W3CDTF">2018-04-10T08:21:58Z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